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EstaPasta_de_trabalho" defaultThemeVersion="124226"/>
  <bookViews>
    <workbookView xWindow="240" yWindow="435" windowWidth="20730" windowHeight="9480" tabRatio="686" firstSheet="53" activeTab="56"/>
  </bookViews>
  <sheets>
    <sheet name="COMPOSIÇÕES" sheetId="52" r:id="rId1"/>
    <sheet name="Planilha" sheetId="1" r:id="rId2"/>
    <sheet name="Memoria de Cálculo" sheetId="2" r:id="rId3"/>
    <sheet name="Porta Completa 3.2" sheetId="3" r:id="rId4"/>
    <sheet name="ORÇAMENTO RESUMO" sheetId="4" r:id="rId5"/>
    <sheet name="CRONOGRAMA FÍSICO-FINANCEIRO" sheetId="5" r:id="rId6"/>
    <sheet name="Divisória Naval 2.3" sheetId="6" r:id="rId7"/>
    <sheet name="Forro de PVC 4.1" sheetId="7" r:id="rId8"/>
    <sheet name="Demolição de Alvenaria 1.1" sheetId="8" r:id="rId9"/>
    <sheet name="Rasgo em Contrapiso1.2" sheetId="9" r:id="rId10"/>
    <sheet name="Alvenaria de vedação 2.1" sheetId="10" r:id="rId11"/>
    <sheet name="Parede de Gesso Acartonado 2.2" sheetId="11" r:id="rId12"/>
    <sheet name="Porta p Divisória 3.1" sheetId="12" r:id="rId13"/>
    <sheet name="Remoção de Forro de Madeira 4.2" sheetId="13" r:id="rId14"/>
    <sheet name="Chapisco 5.1" sheetId="14" r:id="rId15"/>
    <sheet name="Massa Única 5.2" sheetId="15" r:id="rId16"/>
    <sheet name="Tubulação de cobre 6.1" sheetId="16" r:id="rId17"/>
    <sheet name="Dreno Ar Cond. 6.2" sheetId="17" r:id="rId18"/>
    <sheet name="Fundo Selador 7.1" sheetId="18" r:id="rId19"/>
    <sheet name="Lixamento de massa 7.2" sheetId="19" r:id="rId20"/>
    <sheet name="Pintura Acrílica 7.3" sheetId="20" r:id="rId21"/>
    <sheet name="Pintura Esmalte 7.4" sheetId="21" r:id="rId22"/>
    <sheet name="Placa de Concreto 8.1" sheetId="22" r:id="rId23"/>
    <sheet name="Piso Granilite 8.2" sheetId="23" r:id="rId24"/>
    <sheet name="Quadro de Distribuição 9.1" sheetId="24" r:id="rId25"/>
    <sheet name="Disjuntor 10-16A 9.2" sheetId="25" r:id="rId26"/>
    <sheet name="Disjuntor 20A 9.3" sheetId="26" r:id="rId27"/>
    <sheet name="Disjuntor 10 - 50 A 9.4" sheetId="27" r:id="rId28"/>
    <sheet name="Interruptor 9.5" sheetId="28" r:id="rId29"/>
    <sheet name="Caixa PVC 9.6" sheetId="29" r:id="rId30"/>
    <sheet name="Luminária 9.7" sheetId="30" r:id="rId31"/>
    <sheet name="Tomada 9.8" sheetId="31" r:id="rId32"/>
    <sheet name="Eletroduto Flex 9.9" sheetId="32" r:id="rId33"/>
    <sheet name="Eletroduto 25 9.10" sheetId="33" r:id="rId34"/>
    <sheet name="Eletroduto 32 9.11" sheetId="34" r:id="rId35"/>
    <sheet name="Abraçadeira 9.12" sheetId="35" r:id="rId36"/>
    <sheet name="Curva 9.13" sheetId="36" r:id="rId37"/>
    <sheet name="Caixa Pre 9.14" sheetId="37" r:id="rId38"/>
    <sheet name="Cabo Cobre 2,5 9.15" sheetId="38" r:id="rId39"/>
    <sheet name="Cabo Cobre 4 9.16" sheetId="39" r:id="rId40"/>
    <sheet name="Cabo Cobre 6 9.17" sheetId="40" r:id="rId41"/>
    <sheet name="Cabo UTP 9.18" sheetId="41" r:id="rId42"/>
    <sheet name="Ponto Cab. 9.19" sheetId="42" r:id="rId43"/>
    <sheet name="Curva Horizontal 9.20" sheetId="43" r:id="rId44"/>
    <sheet name="Eletrocalha 9.21" sheetId="44" r:id="rId45"/>
    <sheet name="Abrigo 10.1" sheetId="45" r:id="rId46"/>
    <sheet name="Tubo 10.2" sheetId="46" r:id="rId47"/>
    <sheet name="Bancada 11.1" sheetId="47" r:id="rId48"/>
    <sheet name="Suporte 11.2" sheetId="48" r:id="rId49"/>
    <sheet name="Corrimão 11.3" sheetId="49" r:id="rId50"/>
    <sheet name="Limpeza 11.4" sheetId="50" r:id="rId51"/>
    <sheet name="Bota Fora 11.5" sheetId="51" r:id="rId52"/>
    <sheet name="PLANILHA DEPÓSITO" sheetId="53" r:id="rId53"/>
    <sheet name="MEMÓRIA DEPÓSITO" sheetId="54" r:id="rId54"/>
    <sheet name="Plan3" sheetId="55" r:id="rId55"/>
    <sheet name="CRONOGRAMA DEPÓSITO" sheetId="56" r:id="rId56"/>
    <sheet name="Plan1" sheetId="57" r:id="rId57"/>
    <sheet name="ORÇAMENTO RESUMO DEPOSITO" sheetId="58" r:id="rId58"/>
  </sheets>
  <definedNames>
    <definedName name="_xlnm.Print_Area" localSheetId="35">'Abraçadeira 9.12'!$B$31:$G$39</definedName>
    <definedName name="_xlnm.Print_Area" localSheetId="45">'Abrigo 10.1'!$B$31:$G$38</definedName>
    <definedName name="_xlnm.Print_Area" localSheetId="10">'Alvenaria de vedação 2.1'!$B$31:$G$40</definedName>
    <definedName name="_xlnm.Print_Area" localSheetId="47">'Bancada 11.1'!$B$31:$G$38</definedName>
    <definedName name="_xlnm.Print_Area" localSheetId="51">'Bota Fora 11.5'!$B$31:$G$38</definedName>
    <definedName name="_xlnm.Print_Area" localSheetId="38">'Cabo Cobre 2,5 9.15'!$B$31:$G$39</definedName>
    <definedName name="_xlnm.Print_Area" localSheetId="39">'Cabo Cobre 4 9.16'!$B$31:$G$39</definedName>
    <definedName name="_xlnm.Print_Area" localSheetId="40">'Cabo Cobre 6 9.17'!$B$31:$G$39</definedName>
    <definedName name="_xlnm.Print_Area" localSheetId="41">'Cabo UTP 9.18'!$B$31:$G$39</definedName>
    <definedName name="_xlnm.Print_Area" localSheetId="37">'Caixa Pre 9.14'!$B$31:$G$39</definedName>
    <definedName name="_xlnm.Print_Area" localSheetId="29">'Caixa PVC 9.6'!$B$31:$G$39</definedName>
    <definedName name="_xlnm.Print_Area" localSheetId="14">'Chapisco 5.1'!$B$31:$G$39</definedName>
    <definedName name="_xlnm.Print_Area" localSheetId="0">COMPOSIÇÕES!$O$1:$T$10</definedName>
    <definedName name="_xlnm.Print_Area" localSheetId="49">'Corrimão 11.3'!$B$31:$G$38</definedName>
    <definedName name="_xlnm.Print_Area" localSheetId="55">'CRONOGRAMA DEPÓSITO'!$B$2:$Q$20</definedName>
    <definedName name="_xlnm.Print_Area" localSheetId="5">'CRONOGRAMA FÍSICO-FINANCEIRO'!$B$2:$M$18</definedName>
    <definedName name="_xlnm.Print_Area" localSheetId="36">'Curva 9.13'!$B$31:$G$39</definedName>
    <definedName name="_xlnm.Print_Area" localSheetId="43">'Curva Horizontal 9.20'!$B$31:$G$39</definedName>
    <definedName name="_xlnm.Print_Area" localSheetId="8">'Demolição de Alvenaria 1.1'!$B$3:$G$10</definedName>
    <definedName name="_xlnm.Print_Area" localSheetId="27">'Disjuntor 10 - 50 A 9.4'!$B$31:$G$39</definedName>
    <definedName name="_xlnm.Print_Area" localSheetId="25">'Disjuntor 10-16A 9.2'!$B$31:$G$39</definedName>
    <definedName name="_xlnm.Print_Area" localSheetId="26">'Disjuntor 20A 9.3'!$B$7:$G$15</definedName>
    <definedName name="_xlnm.Print_Area" localSheetId="6">'Divisória Naval 2.3'!$B$3:$G$12</definedName>
    <definedName name="_xlnm.Print_Area" localSheetId="17">'Dreno Ar Cond. 6.2'!$B$31:$G$45</definedName>
    <definedName name="_xlnm.Print_Area" localSheetId="44">'Eletrocalha 9.21'!$B$31:$G$39</definedName>
    <definedName name="_xlnm.Print_Area" localSheetId="33">'Eletroduto 25 9.10'!$B$31:$G$39</definedName>
    <definedName name="_xlnm.Print_Area" localSheetId="34">'Eletroduto 32 9.11'!$B$31:$G$39</definedName>
    <definedName name="_xlnm.Print_Area" localSheetId="32">'Eletroduto Flex 9.9'!$B$31:$G$39</definedName>
    <definedName name="_xlnm.Print_Area" localSheetId="7">'Forro de PVC 4.1'!$B$3:$G$16</definedName>
    <definedName name="_xlnm.Print_Area" localSheetId="18">'Fundo Selador 7.1'!$B$31:$G$38</definedName>
    <definedName name="_xlnm.Print_Area" localSheetId="28">'Interruptor 9.5'!$B$31:$G$39</definedName>
    <definedName name="_xlnm.Print_Area" localSheetId="50">'Limpeza 11.4'!$B$31:$G$38</definedName>
    <definedName name="_xlnm.Print_Area" localSheetId="19">'Lixamento de massa 7.2'!$B$31:$G$40</definedName>
    <definedName name="_xlnm.Print_Area" localSheetId="30">'Luminária 9.7'!$B$31:$G$39</definedName>
    <definedName name="_xlnm.Print_Area" localSheetId="15">'Massa Única 5.2'!$B$31:$G$40</definedName>
    <definedName name="_xlnm.Print_Area" localSheetId="53">'MEMÓRIA DEPÓSITO'!$A$1:$L$348</definedName>
    <definedName name="_xlnm.Print_Area" localSheetId="4">'ORÇAMENTO RESUMO'!$B$3:$I$19</definedName>
    <definedName name="_xlnm.Print_Area" localSheetId="57">'ORÇAMENTO RESUMO DEPOSITO'!$B$2:$I$20</definedName>
    <definedName name="_xlnm.Print_Area" localSheetId="11">'Parede de Gesso Acartonado 2.2'!$B$31:$G$43</definedName>
    <definedName name="_xlnm.Print_Area" localSheetId="20">'Pintura Acrílica 7.3'!$B$31:$G$40</definedName>
    <definedName name="_xlnm.Print_Area" localSheetId="21">'Pintura Esmalte 7.4'!$B$31:$G$41</definedName>
    <definedName name="_xlnm.Print_Area" localSheetId="23">'Piso Granilite 8.2'!$B$31:$G$38</definedName>
    <definedName name="_xlnm.Print_Area" localSheetId="22">'Placa de Concreto 8.1'!$B$31:$G$40</definedName>
    <definedName name="_xlnm.Print_Area" localSheetId="54">Plan3!$B$1:$G$9</definedName>
    <definedName name="_xlnm.Print_Area" localSheetId="1">Planilha!$A$1:$G$89</definedName>
    <definedName name="_xlnm.Print_Area" localSheetId="42">'Ponto Cab. 9.19'!$B$31:$G$39</definedName>
    <definedName name="_xlnm.Print_Area" localSheetId="3">'Porta Completa 3.2'!$B$4:$G$14</definedName>
    <definedName name="_xlnm.Print_Area" localSheetId="12">'Porta p Divisória 3.1'!$B$15:$G$24</definedName>
    <definedName name="_xlnm.Print_Area" localSheetId="24">'Quadro de Distribuição 9.1'!$B$31:$G$39</definedName>
    <definedName name="_xlnm.Print_Area" localSheetId="9">'Rasgo em Contrapiso1.2'!$B$3:$G$10</definedName>
    <definedName name="_xlnm.Print_Area" localSheetId="13">'Remoção de Forro de Madeira 4.2'!$B$31:$G$37</definedName>
    <definedName name="_xlnm.Print_Area" localSheetId="48">'Suporte 11.2'!$B$31:$G$38</definedName>
    <definedName name="_xlnm.Print_Area" localSheetId="31">'Tomada 9.8'!$B$31:$G$39</definedName>
    <definedName name="_xlnm.Print_Area" localSheetId="46">'Tubo 10.2'!$B$31:$G$38</definedName>
    <definedName name="_xlnm.Print_Area" localSheetId="16">'Tubulação de cobre 6.1'!$B$31:$G$41</definedName>
  </definedNames>
  <calcPr calcId="145621"/>
</workbook>
</file>

<file path=xl/calcChain.xml><?xml version="1.0" encoding="utf-8"?>
<calcChain xmlns="http://schemas.openxmlformats.org/spreadsheetml/2006/main">
  <c r="Q20" i="56" l="1"/>
  <c r="Q19" i="56"/>
  <c r="G19" i="56"/>
  <c r="D20" i="53" l="1"/>
  <c r="M18" i="5" l="1"/>
  <c r="I13" i="5"/>
  <c r="D10" i="5"/>
  <c r="D17" i="5" s="1"/>
  <c r="D9" i="5"/>
  <c r="D8" i="5"/>
  <c r="D7" i="5"/>
  <c r="M15" i="5"/>
  <c r="M16" i="5"/>
  <c r="K16" i="5"/>
  <c r="K15" i="5"/>
  <c r="I16" i="5"/>
  <c r="I15" i="5"/>
  <c r="G15" i="5"/>
  <c r="G16" i="5"/>
  <c r="F15" i="5"/>
  <c r="F16" i="5"/>
  <c r="D16" i="5"/>
  <c r="D15" i="5"/>
  <c r="D14" i="5"/>
  <c r="D13" i="5"/>
  <c r="D12" i="5"/>
  <c r="D11" i="5"/>
  <c r="C16" i="5"/>
  <c r="C15" i="5"/>
  <c r="C14" i="5"/>
  <c r="C13" i="5"/>
  <c r="C12" i="5"/>
  <c r="C11" i="5"/>
  <c r="E15" i="5" l="1"/>
  <c r="E16" i="5"/>
  <c r="C17" i="58"/>
  <c r="C16" i="58"/>
  <c r="C14" i="58"/>
  <c r="C15" i="58"/>
  <c r="C13" i="58"/>
  <c r="C12" i="58"/>
  <c r="C11" i="58"/>
  <c r="C10" i="58"/>
  <c r="C6" i="58"/>
  <c r="B3" i="58"/>
  <c r="G16" i="4"/>
  <c r="G15" i="4"/>
  <c r="G14" i="4"/>
  <c r="G13" i="4"/>
  <c r="G12" i="4"/>
  <c r="G11" i="4"/>
  <c r="G10" i="4"/>
  <c r="G9" i="4"/>
  <c r="F17" i="4"/>
  <c r="G8" i="4"/>
  <c r="G7" i="4"/>
  <c r="I16" i="4"/>
  <c r="H16" i="4"/>
  <c r="F16" i="4"/>
  <c r="F15" i="4"/>
  <c r="F14" i="4"/>
  <c r="F13" i="4"/>
  <c r="F12" i="4"/>
  <c r="F11" i="4"/>
  <c r="C16" i="4"/>
  <c r="C15" i="4"/>
  <c r="C14" i="4"/>
  <c r="C13" i="4"/>
  <c r="C12" i="4"/>
  <c r="C11" i="4"/>
  <c r="G59" i="1"/>
  <c r="G56" i="1"/>
  <c r="D35" i="1"/>
  <c r="D33" i="1"/>
  <c r="G66" i="53"/>
  <c r="G65" i="53"/>
  <c r="G64" i="53"/>
  <c r="G63" i="53"/>
  <c r="G62" i="53"/>
  <c r="G61" i="53"/>
  <c r="G60" i="53"/>
  <c r="G59" i="53"/>
  <c r="G58" i="53"/>
  <c r="G57" i="53"/>
  <c r="G56" i="53"/>
  <c r="A8" i="57" l="1"/>
  <c r="A6" i="57"/>
  <c r="D54" i="53"/>
  <c r="G54" i="53" s="1"/>
  <c r="I348" i="54"/>
  <c r="C344" i="54"/>
  <c r="B344" i="54"/>
  <c r="C18" i="56" l="1"/>
  <c r="C17" i="56"/>
  <c r="C16" i="56"/>
  <c r="C15" i="56"/>
  <c r="C14" i="56"/>
  <c r="C13" i="56"/>
  <c r="C12" i="56"/>
  <c r="C11" i="56"/>
  <c r="C7" i="56"/>
  <c r="I13" i="54"/>
  <c r="D13" i="53"/>
  <c r="G13" i="53" s="1"/>
  <c r="I34" i="54"/>
  <c r="I36" i="54" s="1"/>
  <c r="G35" i="53"/>
  <c r="C233" i="54"/>
  <c r="B233" i="54"/>
  <c r="I236" i="54"/>
  <c r="I235" i="54"/>
  <c r="I238" i="54" s="1"/>
  <c r="D37" i="53" s="1"/>
  <c r="G37" i="53" s="1"/>
  <c r="I229" i="54"/>
  <c r="I228" i="54"/>
  <c r="I231" i="54" s="1"/>
  <c r="D36" i="53" s="1"/>
  <c r="G36" i="53" s="1"/>
  <c r="C226" i="54"/>
  <c r="B226" i="54"/>
  <c r="B225" i="54"/>
  <c r="C340" i="54"/>
  <c r="I340" i="54" s="1"/>
  <c r="I342" i="54" s="1"/>
  <c r="D53" i="53" s="1"/>
  <c r="G53" i="53" s="1"/>
  <c r="C338" i="54"/>
  <c r="B338" i="54"/>
  <c r="G34" i="53" l="1"/>
  <c r="I334" i="54"/>
  <c r="I336" i="54" s="1"/>
  <c r="D52" i="53" s="1"/>
  <c r="G52" i="53" s="1"/>
  <c r="C334" i="54"/>
  <c r="C332" i="54"/>
  <c r="B332" i="54"/>
  <c r="B331" i="54"/>
  <c r="I170" i="54"/>
  <c r="D27" i="53" s="1"/>
  <c r="G27" i="53" s="1"/>
  <c r="I168" i="54"/>
  <c r="C166" i="54"/>
  <c r="B166" i="54"/>
  <c r="I162" i="54"/>
  <c r="I164" i="54" s="1"/>
  <c r="D26" i="53" s="1"/>
  <c r="G26" i="53" s="1"/>
  <c r="C160" i="54"/>
  <c r="B160" i="54"/>
  <c r="C154" i="54"/>
  <c r="B154" i="54"/>
  <c r="C124" i="54"/>
  <c r="B124" i="54"/>
  <c r="I326" i="54"/>
  <c r="I327" i="54"/>
  <c r="I325" i="54"/>
  <c r="C323" i="54"/>
  <c r="B323" i="54"/>
  <c r="C69" i="54"/>
  <c r="I69" i="54" s="1"/>
  <c r="I319" i="54"/>
  <c r="I318" i="54"/>
  <c r="I317" i="54"/>
  <c r="I316" i="54"/>
  <c r="C314" i="54"/>
  <c r="B314" i="54"/>
  <c r="I308" i="54"/>
  <c r="I309" i="54"/>
  <c r="I310" i="54"/>
  <c r="I307" i="54"/>
  <c r="C305" i="54"/>
  <c r="B305" i="54"/>
  <c r="I41" i="54"/>
  <c r="I43" i="54" s="1"/>
  <c r="D15" i="53" s="1"/>
  <c r="G15" i="53" s="1"/>
  <c r="C39" i="54"/>
  <c r="B39" i="54"/>
  <c r="B304" i="54"/>
  <c r="I221" i="54"/>
  <c r="I220" i="54"/>
  <c r="I219" i="54"/>
  <c r="C217" i="54"/>
  <c r="B217" i="54"/>
  <c r="F33" i="53"/>
  <c r="I213" i="54"/>
  <c r="I212" i="54"/>
  <c r="I211" i="54"/>
  <c r="C209" i="54"/>
  <c r="B209" i="54"/>
  <c r="I204" i="54"/>
  <c r="I203" i="54"/>
  <c r="I202" i="54"/>
  <c r="I201" i="54"/>
  <c r="I200" i="54"/>
  <c r="I199" i="54"/>
  <c r="I198" i="54"/>
  <c r="C196" i="54"/>
  <c r="B196" i="54"/>
  <c r="I192" i="54"/>
  <c r="C191" i="54"/>
  <c r="I191" i="54" s="1"/>
  <c r="I185" i="54"/>
  <c r="I186" i="54"/>
  <c r="I187" i="54"/>
  <c r="I188" i="54"/>
  <c r="I189" i="54"/>
  <c r="I190" i="54"/>
  <c r="I184" i="54"/>
  <c r="C182" i="54"/>
  <c r="B182" i="54"/>
  <c r="B181" i="54"/>
  <c r="I299" i="54"/>
  <c r="I300" i="54"/>
  <c r="I298" i="54"/>
  <c r="C296" i="54"/>
  <c r="B296" i="54"/>
  <c r="I292" i="54"/>
  <c r="I291" i="54"/>
  <c r="C289" i="54"/>
  <c r="B289" i="54"/>
  <c r="I285" i="54"/>
  <c r="I284" i="54"/>
  <c r="C282" i="54"/>
  <c r="B282" i="54"/>
  <c r="I278" i="54"/>
  <c r="I277" i="54"/>
  <c r="I276" i="54"/>
  <c r="I275" i="54"/>
  <c r="C273" i="54"/>
  <c r="B273" i="54"/>
  <c r="I269" i="54"/>
  <c r="I268" i="54"/>
  <c r="C266" i="54"/>
  <c r="B266" i="54"/>
  <c r="I262" i="54"/>
  <c r="I261" i="54"/>
  <c r="I260" i="54"/>
  <c r="I259" i="54"/>
  <c r="C257" i="54"/>
  <c r="B257" i="54"/>
  <c r="I253" i="54"/>
  <c r="I252" i="54"/>
  <c r="C250" i="54"/>
  <c r="I244" i="54"/>
  <c r="I245" i="54"/>
  <c r="I246" i="54"/>
  <c r="I243" i="54"/>
  <c r="I175" i="54"/>
  <c r="I176" i="54"/>
  <c r="I177" i="54"/>
  <c r="I174" i="54"/>
  <c r="C172" i="54"/>
  <c r="B172" i="54"/>
  <c r="C104" i="54"/>
  <c r="I156" i="54"/>
  <c r="I158" i="54" s="1"/>
  <c r="D25" i="53" s="1"/>
  <c r="G25" i="53" s="1"/>
  <c r="C84" i="54"/>
  <c r="F150" i="54"/>
  <c r="I150" i="54" s="1"/>
  <c r="I120" i="54"/>
  <c r="I100" i="54"/>
  <c r="D13" i="56" l="1"/>
  <c r="F13" i="56" s="1"/>
  <c r="F12" i="58"/>
  <c r="G51" i="53"/>
  <c r="I312" i="54"/>
  <c r="D48" i="53" s="1"/>
  <c r="G48" i="53" s="1"/>
  <c r="I329" i="54"/>
  <c r="D50" i="53" s="1"/>
  <c r="G50" i="53" s="1"/>
  <c r="I321" i="54"/>
  <c r="D49" i="53" s="1"/>
  <c r="G49" i="53" s="1"/>
  <c r="I179" i="54"/>
  <c r="D28" i="53" s="1"/>
  <c r="G28" i="53" s="1"/>
  <c r="I255" i="54"/>
  <c r="D40" i="53" s="1"/>
  <c r="G40" i="53" s="1"/>
  <c r="I294" i="54"/>
  <c r="D45" i="53" s="1"/>
  <c r="G45" i="53" s="1"/>
  <c r="I223" i="54"/>
  <c r="D33" i="53" s="1"/>
  <c r="G33" i="53" s="1"/>
  <c r="I248" i="54"/>
  <c r="D39" i="53" s="1"/>
  <c r="G39" i="53" s="1"/>
  <c r="I207" i="54"/>
  <c r="D31" i="53" s="1"/>
  <c r="G31" i="53" s="1"/>
  <c r="I280" i="54"/>
  <c r="D43" i="53" s="1"/>
  <c r="G43" i="53" s="1"/>
  <c r="I302" i="54"/>
  <c r="D46" i="53" s="1"/>
  <c r="G46" i="53" s="1"/>
  <c r="I215" i="54"/>
  <c r="D32" i="53" s="1"/>
  <c r="G32" i="53" s="1"/>
  <c r="I194" i="54"/>
  <c r="D30" i="53" s="1"/>
  <c r="G30" i="53" s="1"/>
  <c r="I287" i="54"/>
  <c r="D44" i="53" s="1"/>
  <c r="G44" i="53" s="1"/>
  <c r="I264" i="54"/>
  <c r="D41" i="53" s="1"/>
  <c r="G41" i="53" s="1"/>
  <c r="I271" i="54"/>
  <c r="D42" i="53" s="1"/>
  <c r="G42" i="53" s="1"/>
  <c r="F147" i="54"/>
  <c r="I147" i="54" s="1"/>
  <c r="F146" i="54"/>
  <c r="I146" i="54" s="1"/>
  <c r="F145" i="54"/>
  <c r="I145" i="54" s="1"/>
  <c r="F144" i="54"/>
  <c r="I144" i="54" s="1"/>
  <c r="F143" i="54"/>
  <c r="I143" i="54" s="1"/>
  <c r="F142" i="54"/>
  <c r="I142" i="54" s="1"/>
  <c r="F141" i="54"/>
  <c r="I141" i="54" s="1"/>
  <c r="F140" i="54"/>
  <c r="I140" i="54" s="1"/>
  <c r="F137" i="54"/>
  <c r="I137" i="54" s="1"/>
  <c r="F136" i="54"/>
  <c r="I136" i="54" s="1"/>
  <c r="F135" i="54"/>
  <c r="I135" i="54" s="1"/>
  <c r="F134" i="54"/>
  <c r="I134" i="54" s="1"/>
  <c r="F133" i="54"/>
  <c r="I133" i="54" s="1"/>
  <c r="F132" i="54"/>
  <c r="I132" i="54" s="1"/>
  <c r="F131" i="54"/>
  <c r="I131" i="54" s="1"/>
  <c r="F130" i="54"/>
  <c r="I130" i="54" s="1"/>
  <c r="F129" i="54"/>
  <c r="I129" i="54" s="1"/>
  <c r="F128" i="54"/>
  <c r="I128" i="54" s="1"/>
  <c r="F127" i="54"/>
  <c r="I127" i="54" s="1"/>
  <c r="O124" i="54"/>
  <c r="F126" i="54"/>
  <c r="I126" i="54" s="1"/>
  <c r="I115" i="54"/>
  <c r="I116" i="54"/>
  <c r="I117" i="54"/>
  <c r="I114" i="54"/>
  <c r="I107" i="54"/>
  <c r="I108" i="54"/>
  <c r="I109" i="54"/>
  <c r="I110" i="54"/>
  <c r="I111" i="54"/>
  <c r="I106" i="54"/>
  <c r="I95" i="54"/>
  <c r="I96" i="54"/>
  <c r="I97" i="54"/>
  <c r="I94" i="54"/>
  <c r="I87" i="54"/>
  <c r="I88" i="54"/>
  <c r="I89" i="54"/>
  <c r="I90" i="54"/>
  <c r="I91" i="54"/>
  <c r="I86" i="54"/>
  <c r="C20" i="53"/>
  <c r="B20" i="53"/>
  <c r="C19" i="53"/>
  <c r="I80" i="54"/>
  <c r="I79" i="54"/>
  <c r="I78" i="54"/>
  <c r="I77" i="54"/>
  <c r="F18" i="53"/>
  <c r="B18" i="53"/>
  <c r="C17" i="53"/>
  <c r="B17" i="53"/>
  <c r="C16" i="53"/>
  <c r="B16" i="53"/>
  <c r="C14" i="53"/>
  <c r="C12" i="53"/>
  <c r="B12" i="53"/>
  <c r="C11" i="53"/>
  <c r="B11" i="53"/>
  <c r="C10" i="53"/>
  <c r="C8" i="53"/>
  <c r="B8" i="53"/>
  <c r="G68" i="53"/>
  <c r="G67" i="53" s="1"/>
  <c r="G20" i="53"/>
  <c r="I66" i="54"/>
  <c r="I67" i="54"/>
  <c r="I68" i="54"/>
  <c r="I65" i="54"/>
  <c r="C63" i="54"/>
  <c r="C18" i="53" s="1"/>
  <c r="G7" i="55"/>
  <c r="G6" i="55"/>
  <c r="G8" i="55"/>
  <c r="G5" i="55"/>
  <c r="I58" i="54"/>
  <c r="I59" i="54"/>
  <c r="I60" i="54"/>
  <c r="I57" i="54"/>
  <c r="I52" i="54"/>
  <c r="I51" i="54"/>
  <c r="I50" i="54"/>
  <c r="I49" i="54"/>
  <c r="I15" i="54"/>
  <c r="D9" i="53" s="1"/>
  <c r="G9" i="53" s="1"/>
  <c r="I28" i="54"/>
  <c r="I30" i="54" s="1"/>
  <c r="D12" i="53" s="1"/>
  <c r="G12" i="53" s="1"/>
  <c r="I21" i="54"/>
  <c r="I22" i="54"/>
  <c r="I23" i="54"/>
  <c r="I20" i="54"/>
  <c r="I8" i="54"/>
  <c r="I9" i="54" s="1"/>
  <c r="D8" i="53" s="1"/>
  <c r="G8" i="53" s="1"/>
  <c r="G13" i="56" l="1"/>
  <c r="I13" i="56" s="1"/>
  <c r="D18" i="56"/>
  <c r="F17" i="58"/>
  <c r="C9" i="56"/>
  <c r="C8" i="58"/>
  <c r="D16" i="56"/>
  <c r="F15" i="58"/>
  <c r="H12" i="58"/>
  <c r="I12" i="58" s="1"/>
  <c r="C8" i="56"/>
  <c r="C7" i="58"/>
  <c r="C10" i="56"/>
  <c r="C9" i="58"/>
  <c r="K13" i="56"/>
  <c r="F16" i="56"/>
  <c r="G16" i="56" s="1"/>
  <c r="F18" i="56"/>
  <c r="G18" i="56" s="1"/>
  <c r="M13" i="56"/>
  <c r="Q13" i="56"/>
  <c r="G47" i="53"/>
  <c r="I71" i="54"/>
  <c r="G29" i="53"/>
  <c r="G38" i="53"/>
  <c r="I24" i="54"/>
  <c r="D11" i="53" s="1"/>
  <c r="G11" i="53" s="1"/>
  <c r="G10" i="53" s="1"/>
  <c r="I98" i="54"/>
  <c r="I112" i="54"/>
  <c r="D18" i="53"/>
  <c r="G18" i="53" s="1"/>
  <c r="I92" i="54"/>
  <c r="I138" i="54"/>
  <c r="I148" i="54"/>
  <c r="I53" i="54"/>
  <c r="D16" i="53" s="1"/>
  <c r="G16" i="53" s="1"/>
  <c r="I61" i="54"/>
  <c r="D17" i="53" s="1"/>
  <c r="G17" i="53" s="1"/>
  <c r="I81" i="54"/>
  <c r="I118" i="54"/>
  <c r="G55" i="53"/>
  <c r="G7" i="53"/>
  <c r="G9" i="55"/>
  <c r="B4" i="5"/>
  <c r="B3" i="5"/>
  <c r="B5" i="4"/>
  <c r="B4" i="4"/>
  <c r="C10" i="4"/>
  <c r="C10" i="5" s="1"/>
  <c r="C9" i="4"/>
  <c r="C9" i="5" s="1"/>
  <c r="C8" i="4"/>
  <c r="C8" i="5" s="1"/>
  <c r="C7" i="4"/>
  <c r="C7" i="5" s="1"/>
  <c r="O13" i="56" l="1"/>
  <c r="D8" i="56"/>
  <c r="F8" i="56" s="1"/>
  <c r="G8" i="56" s="1"/>
  <c r="F7" i="58"/>
  <c r="H7" i="58" s="1"/>
  <c r="I7" i="58" s="1"/>
  <c r="D15" i="56"/>
  <c r="F14" i="58"/>
  <c r="H14" i="58" s="1"/>
  <c r="I14" i="58" s="1"/>
  <c r="D7" i="56"/>
  <c r="F7" i="56" s="1"/>
  <c r="G7" i="56" s="1"/>
  <c r="F6" i="58"/>
  <c r="D17" i="56"/>
  <c r="F17" i="56" s="1"/>
  <c r="G17" i="56" s="1"/>
  <c r="Q17" i="56" s="1"/>
  <c r="F16" i="58"/>
  <c r="D14" i="56"/>
  <c r="F14" i="56" s="1"/>
  <c r="G14" i="56" s="1"/>
  <c r="O14" i="56" s="1"/>
  <c r="F13" i="58"/>
  <c r="H15" i="58"/>
  <c r="I15" i="58" s="1"/>
  <c r="H17" i="58"/>
  <c r="I17" i="58"/>
  <c r="D12" i="56"/>
  <c r="F11" i="58"/>
  <c r="H11" i="58" s="1"/>
  <c r="I11" i="58" s="1"/>
  <c r="K18" i="56"/>
  <c r="I18" i="56"/>
  <c r="M18" i="56"/>
  <c r="Q18" i="56"/>
  <c r="O18" i="56"/>
  <c r="O16" i="56"/>
  <c r="K16" i="56"/>
  <c r="I16" i="56"/>
  <c r="M16" i="56"/>
  <c r="Q16" i="56"/>
  <c r="K17" i="56"/>
  <c r="O17" i="56"/>
  <c r="I17" i="56"/>
  <c r="M14" i="56"/>
  <c r="Q14" i="56"/>
  <c r="K14" i="56"/>
  <c r="F12" i="56"/>
  <c r="G12" i="56" s="1"/>
  <c r="F15" i="56"/>
  <c r="G14" i="53"/>
  <c r="I102" i="54"/>
  <c r="D22" i="53" s="1"/>
  <c r="G22" i="53" s="1"/>
  <c r="I122" i="54"/>
  <c r="D23" i="53" s="1"/>
  <c r="G23" i="53" s="1"/>
  <c r="I152" i="54"/>
  <c r="D24" i="53" s="1"/>
  <c r="G24" i="53" s="1"/>
  <c r="K55" i="2"/>
  <c r="K57" i="2" s="1"/>
  <c r="B32" i="2"/>
  <c r="K31" i="52"/>
  <c r="K73" i="2"/>
  <c r="K75" i="2" s="1"/>
  <c r="B71" i="2"/>
  <c r="K67" i="2"/>
  <c r="K69" i="2" s="1"/>
  <c r="D22" i="1" s="1"/>
  <c r="B65" i="2"/>
  <c r="K21" i="2"/>
  <c r="G55" i="1"/>
  <c r="H55" i="1" s="1"/>
  <c r="I14" i="56" l="1"/>
  <c r="M17" i="56"/>
  <c r="H16" i="58"/>
  <c r="I16" i="58" s="1"/>
  <c r="H6" i="58"/>
  <c r="I6" i="58" s="1"/>
  <c r="H13" i="58"/>
  <c r="I13" i="58"/>
  <c r="D9" i="56"/>
  <c r="F8" i="58"/>
  <c r="M12" i="56"/>
  <c r="O12" i="56"/>
  <c r="K12" i="56"/>
  <c r="Q12" i="56"/>
  <c r="I12" i="56"/>
  <c r="M7" i="56"/>
  <c r="O7" i="56"/>
  <c r="Q7" i="56"/>
  <c r="I7" i="56"/>
  <c r="K7" i="56"/>
  <c r="F9" i="56"/>
  <c r="G9" i="56" s="1"/>
  <c r="O8" i="56"/>
  <c r="M8" i="56"/>
  <c r="Q8" i="56"/>
  <c r="K8" i="56"/>
  <c r="I8" i="56"/>
  <c r="G15" i="56"/>
  <c r="G21" i="53"/>
  <c r="H8" i="58" l="1"/>
  <c r="I8" i="58" s="1"/>
  <c r="D11" i="56"/>
  <c r="F11" i="56" s="1"/>
  <c r="G11" i="56" s="1"/>
  <c r="O11" i="56" s="1"/>
  <c r="F10" i="58"/>
  <c r="M9" i="56"/>
  <c r="O9" i="56"/>
  <c r="K9" i="56"/>
  <c r="I9" i="56"/>
  <c r="Q9" i="56"/>
  <c r="O15" i="56"/>
  <c r="M15" i="56"/>
  <c r="Q15" i="56"/>
  <c r="K15" i="56"/>
  <c r="I15" i="56"/>
  <c r="G34" i="1"/>
  <c r="G35" i="1"/>
  <c r="G36" i="1"/>
  <c r="G37" i="1"/>
  <c r="G38" i="1"/>
  <c r="G39" i="1"/>
  <c r="G40" i="1"/>
  <c r="G41" i="1"/>
  <c r="G42" i="1"/>
  <c r="G43" i="1"/>
  <c r="G44" i="1"/>
  <c r="G45" i="1"/>
  <c r="G46" i="1"/>
  <c r="G47" i="1"/>
  <c r="G48" i="1"/>
  <c r="G49" i="1"/>
  <c r="G50" i="1"/>
  <c r="G51" i="1"/>
  <c r="G52" i="1"/>
  <c r="G53" i="1"/>
  <c r="G54" i="1"/>
  <c r="G33" i="1"/>
  <c r="K11" i="56" l="1"/>
  <c r="H10" i="58"/>
  <c r="I10" i="58" s="1"/>
  <c r="I11" i="56"/>
  <c r="M11" i="56"/>
  <c r="Q11" i="56"/>
  <c r="G32" i="1"/>
  <c r="F9" i="1"/>
  <c r="K25" i="52"/>
  <c r="K24" i="52"/>
  <c r="K26" i="52"/>
  <c r="K42" i="2"/>
  <c r="K44" i="2" s="1"/>
  <c r="F13" i="5" l="1"/>
  <c r="G13" i="5" s="1"/>
  <c r="K14" i="2"/>
  <c r="K16" i="2" s="1"/>
  <c r="D9" i="1" s="1"/>
  <c r="B12" i="2"/>
  <c r="K27" i="52"/>
  <c r="K112" i="2"/>
  <c r="K114" i="2" s="1"/>
  <c r="D29" i="1" s="1"/>
  <c r="G29" i="1" s="1"/>
  <c r="B110" i="2"/>
  <c r="K99" i="2"/>
  <c r="K90" i="2"/>
  <c r="K82" i="2"/>
  <c r="I98" i="2"/>
  <c r="K35" i="2"/>
  <c r="K37" i="2" s="1"/>
  <c r="D13" i="1" s="1"/>
  <c r="G13" i="1" s="1"/>
  <c r="G14" i="1"/>
  <c r="K119" i="2"/>
  <c r="K121" i="2" s="1"/>
  <c r="D31" i="1" s="1"/>
  <c r="B117" i="2"/>
  <c r="B116" i="2"/>
  <c r="D23" i="1"/>
  <c r="T9" i="52"/>
  <c r="T8" i="52"/>
  <c r="T7" i="52"/>
  <c r="T6" i="52"/>
  <c r="S5" i="52"/>
  <c r="T5" i="52" s="1"/>
  <c r="T10" i="52" l="1"/>
  <c r="F23" i="1" l="1"/>
  <c r="G23" i="1" s="1"/>
  <c r="K98" i="2"/>
  <c r="I97" i="2"/>
  <c r="K97" i="2" s="1"/>
  <c r="G16" i="1"/>
  <c r="K48" i="2"/>
  <c r="K50" i="2" s="1"/>
  <c r="D18" i="1" s="1"/>
  <c r="G18" i="1" s="1"/>
  <c r="B46" i="2"/>
  <c r="G22" i="1"/>
  <c r="F106" i="2"/>
  <c r="K106" i="2" s="1"/>
  <c r="K105" i="2"/>
  <c r="B103" i="2"/>
  <c r="K96" i="2"/>
  <c r="B94" i="2"/>
  <c r="K89" i="2"/>
  <c r="K88" i="2"/>
  <c r="B86" i="2"/>
  <c r="K81" i="2"/>
  <c r="K80" i="2"/>
  <c r="B78" i="2"/>
  <c r="B77" i="2"/>
  <c r="K61" i="2"/>
  <c r="K63" i="2" s="1"/>
  <c r="D21" i="1" s="1"/>
  <c r="B59" i="2"/>
  <c r="D20" i="1"/>
  <c r="B53" i="2"/>
  <c r="B52" i="2"/>
  <c r="B39" i="2"/>
  <c r="G19" i="53" l="1"/>
  <c r="K101" i="2"/>
  <c r="D27" i="1" s="1"/>
  <c r="K84" i="2"/>
  <c r="D25" i="1" s="1"/>
  <c r="K92" i="2"/>
  <c r="D26" i="1" s="1"/>
  <c r="K108" i="2"/>
  <c r="F12" i="1"/>
  <c r="K28" i="2"/>
  <c r="B25" i="2"/>
  <c r="K23" i="2"/>
  <c r="D11" i="1" s="1"/>
  <c r="B19" i="2"/>
  <c r="B18" i="2"/>
  <c r="K9" i="52"/>
  <c r="E13" i="52" s="1"/>
  <c r="K13" i="52" s="1"/>
  <c r="G9" i="1" s="1"/>
  <c r="D17" i="1"/>
  <c r="G17" i="1" s="1"/>
  <c r="G15" i="1" s="1"/>
  <c r="F9" i="4" s="1"/>
  <c r="B40" i="2"/>
  <c r="C9" i="2"/>
  <c r="B4" i="2"/>
  <c r="B3" i="2"/>
  <c r="G69" i="53" l="1"/>
  <c r="G70" i="53" s="1"/>
  <c r="G71" i="53" s="1"/>
  <c r="F9" i="58"/>
  <c r="F9" i="5"/>
  <c r="G9" i="5" s="1"/>
  <c r="D10" i="56"/>
  <c r="D28" i="1"/>
  <c r="G28" i="1" s="1"/>
  <c r="K10" i="2"/>
  <c r="D8" i="1" s="1"/>
  <c r="G8" i="1" s="1"/>
  <c r="G7" i="1" s="1"/>
  <c r="D12" i="1"/>
  <c r="K30" i="2"/>
  <c r="G38" i="51"/>
  <c r="E38" i="51"/>
  <c r="D38" i="51"/>
  <c r="C38" i="51"/>
  <c r="G36" i="51"/>
  <c r="G35" i="51"/>
  <c r="G34" i="51"/>
  <c r="G24" i="51"/>
  <c r="E24" i="51"/>
  <c r="D24" i="51"/>
  <c r="C24" i="51"/>
  <c r="G22" i="51"/>
  <c r="G21" i="51"/>
  <c r="G20" i="51"/>
  <c r="G19" i="51"/>
  <c r="G12" i="51"/>
  <c r="E12" i="51"/>
  <c r="D12" i="51"/>
  <c r="C12" i="51"/>
  <c r="G10" i="51"/>
  <c r="G9" i="51"/>
  <c r="G8" i="51"/>
  <c r="G7" i="51"/>
  <c r="G38" i="50"/>
  <c r="E38" i="50"/>
  <c r="D38" i="50"/>
  <c r="C38" i="50"/>
  <c r="G36" i="50"/>
  <c r="G35" i="50"/>
  <c r="G34" i="50"/>
  <c r="G24" i="50"/>
  <c r="E24" i="50"/>
  <c r="D24" i="50"/>
  <c r="C24" i="50"/>
  <c r="G22" i="50"/>
  <c r="G21" i="50"/>
  <c r="G20" i="50"/>
  <c r="G19" i="50"/>
  <c r="G12" i="50"/>
  <c r="E12" i="50"/>
  <c r="D12" i="50"/>
  <c r="C12" i="50"/>
  <c r="G10" i="50"/>
  <c r="G9" i="50"/>
  <c r="G8" i="50"/>
  <c r="G7" i="50"/>
  <c r="G38" i="49"/>
  <c r="E38" i="49"/>
  <c r="D38" i="49"/>
  <c r="C38" i="49"/>
  <c r="G36" i="49"/>
  <c r="G35" i="49"/>
  <c r="G34" i="49"/>
  <c r="G24" i="49"/>
  <c r="E24" i="49"/>
  <c r="D24" i="49"/>
  <c r="C24" i="49"/>
  <c r="G22" i="49"/>
  <c r="G21" i="49"/>
  <c r="G20" i="49"/>
  <c r="G19" i="49"/>
  <c r="G12" i="49"/>
  <c r="E12" i="49"/>
  <c r="D12" i="49"/>
  <c r="C12" i="49"/>
  <c r="G10" i="49"/>
  <c r="G9" i="49"/>
  <c r="G8" i="49"/>
  <c r="G7" i="49"/>
  <c r="G38" i="48"/>
  <c r="E38" i="48"/>
  <c r="D38" i="48"/>
  <c r="C38" i="48"/>
  <c r="G36" i="48"/>
  <c r="G35" i="48"/>
  <c r="G34" i="48"/>
  <c r="G24" i="48"/>
  <c r="E24" i="48"/>
  <c r="D24" i="48"/>
  <c r="C24" i="48"/>
  <c r="G22" i="48"/>
  <c r="G21" i="48"/>
  <c r="G20" i="48"/>
  <c r="G19" i="48"/>
  <c r="G12" i="48"/>
  <c r="E12" i="48"/>
  <c r="D12" i="48"/>
  <c r="C12" i="48"/>
  <c r="G10" i="48"/>
  <c r="G9" i="48"/>
  <c r="G8" i="48"/>
  <c r="G7" i="48"/>
  <c r="G38" i="47"/>
  <c r="E38" i="47"/>
  <c r="D38" i="47"/>
  <c r="C38" i="47"/>
  <c r="G36" i="47"/>
  <c r="G35" i="47"/>
  <c r="G34" i="47"/>
  <c r="G24" i="47"/>
  <c r="E24" i="47"/>
  <c r="D24" i="47"/>
  <c r="C24" i="47"/>
  <c r="G22" i="47"/>
  <c r="G21" i="47"/>
  <c r="G20" i="47"/>
  <c r="G19" i="47"/>
  <c r="G12" i="47"/>
  <c r="E12" i="47"/>
  <c r="D12" i="47"/>
  <c r="C12" i="47"/>
  <c r="G10" i="47"/>
  <c r="G9" i="47"/>
  <c r="G8" i="47"/>
  <c r="G7" i="47"/>
  <c r="G38" i="46"/>
  <c r="E38" i="46"/>
  <c r="D38" i="46"/>
  <c r="C38" i="46"/>
  <c r="G36" i="46"/>
  <c r="G35" i="46"/>
  <c r="G34" i="46"/>
  <c r="G24" i="46"/>
  <c r="E24" i="46"/>
  <c r="D24" i="46"/>
  <c r="C24" i="46"/>
  <c r="G22" i="46"/>
  <c r="G21" i="46"/>
  <c r="G20" i="46"/>
  <c r="G19" i="46"/>
  <c r="G12" i="46"/>
  <c r="E12" i="46"/>
  <c r="D12" i="46"/>
  <c r="C12" i="46"/>
  <c r="G10" i="46"/>
  <c r="G9" i="46"/>
  <c r="G8" i="46"/>
  <c r="G7" i="46"/>
  <c r="G38" i="45"/>
  <c r="E38" i="45"/>
  <c r="D38" i="45"/>
  <c r="C38" i="45"/>
  <c r="G36" i="45"/>
  <c r="G35" i="45"/>
  <c r="G34" i="45"/>
  <c r="G24" i="45"/>
  <c r="E24" i="45"/>
  <c r="D24" i="45"/>
  <c r="C24" i="45"/>
  <c r="G22" i="45"/>
  <c r="G21" i="45"/>
  <c r="G20" i="45"/>
  <c r="G19" i="45"/>
  <c r="G12" i="45"/>
  <c r="E12" i="45"/>
  <c r="D12" i="45"/>
  <c r="C12" i="45"/>
  <c r="G10" i="45"/>
  <c r="G9" i="45"/>
  <c r="G8" i="45"/>
  <c r="G7" i="45"/>
  <c r="G39" i="44"/>
  <c r="E39" i="44"/>
  <c r="D39" i="44"/>
  <c r="C39" i="44"/>
  <c r="G37" i="44"/>
  <c r="G36" i="44"/>
  <c r="G35" i="44"/>
  <c r="F35" i="44"/>
  <c r="G34" i="44"/>
  <c r="G24" i="44"/>
  <c r="E24" i="44"/>
  <c r="D24" i="44"/>
  <c r="C24" i="44"/>
  <c r="G22" i="44"/>
  <c r="G21" i="44"/>
  <c r="G20" i="44"/>
  <c r="G19" i="44"/>
  <c r="G12" i="44"/>
  <c r="E12" i="44"/>
  <c r="D12" i="44"/>
  <c r="C12" i="44"/>
  <c r="G10" i="44"/>
  <c r="G9" i="44"/>
  <c r="G8" i="44"/>
  <c r="G7" i="44"/>
  <c r="G39" i="43"/>
  <c r="E39" i="43"/>
  <c r="D39" i="43"/>
  <c r="C39" i="43"/>
  <c r="G37" i="43"/>
  <c r="G36" i="43"/>
  <c r="G35" i="43"/>
  <c r="F35" i="43"/>
  <c r="G34" i="43"/>
  <c r="G24" i="43"/>
  <c r="E24" i="43"/>
  <c r="D24" i="43"/>
  <c r="C24" i="43"/>
  <c r="G22" i="43"/>
  <c r="G21" i="43"/>
  <c r="G20" i="43"/>
  <c r="G19" i="43"/>
  <c r="G12" i="43"/>
  <c r="E12" i="43"/>
  <c r="D12" i="43"/>
  <c r="C12" i="43"/>
  <c r="G10" i="43"/>
  <c r="G9" i="43"/>
  <c r="G8" i="43"/>
  <c r="G7" i="43"/>
  <c r="G39" i="42"/>
  <c r="E39" i="42"/>
  <c r="D39" i="42"/>
  <c r="C39" i="42"/>
  <c r="G37" i="42"/>
  <c r="G36" i="42"/>
  <c r="G35" i="42"/>
  <c r="F35" i="42"/>
  <c r="G34" i="42"/>
  <c r="G24" i="42"/>
  <c r="E24" i="42"/>
  <c r="D24" i="42"/>
  <c r="C24" i="42"/>
  <c r="G22" i="42"/>
  <c r="G21" i="42"/>
  <c r="G20" i="42"/>
  <c r="G19" i="42"/>
  <c r="G12" i="42"/>
  <c r="E12" i="42"/>
  <c r="D12" i="42"/>
  <c r="C12" i="42"/>
  <c r="G10" i="42"/>
  <c r="G9" i="42"/>
  <c r="G8" i="42"/>
  <c r="G7" i="42"/>
  <c r="G39" i="41"/>
  <c r="E39" i="41"/>
  <c r="D39" i="41"/>
  <c r="C39" i="41"/>
  <c r="G37" i="41"/>
  <c r="G36" i="41"/>
  <c r="G35" i="41"/>
  <c r="F35" i="41"/>
  <c r="G34" i="41"/>
  <c r="G24" i="41"/>
  <c r="E24" i="41"/>
  <c r="D24" i="41"/>
  <c r="C24" i="41"/>
  <c r="G22" i="41"/>
  <c r="G21" i="41"/>
  <c r="G20" i="41"/>
  <c r="G19" i="41"/>
  <c r="G12" i="41"/>
  <c r="E12" i="41"/>
  <c r="D12" i="41"/>
  <c r="C12" i="41"/>
  <c r="G10" i="41"/>
  <c r="G9" i="41"/>
  <c r="G8" i="41"/>
  <c r="G7" i="41"/>
  <c r="G39" i="40"/>
  <c r="E39" i="40"/>
  <c r="D39" i="40"/>
  <c r="C39" i="40"/>
  <c r="G37" i="40"/>
  <c r="G36" i="40"/>
  <c r="G35" i="40"/>
  <c r="F35" i="40"/>
  <c r="G34" i="40"/>
  <c r="G24" i="40"/>
  <c r="E24" i="40"/>
  <c r="D24" i="40"/>
  <c r="C24" i="40"/>
  <c r="G22" i="40"/>
  <c r="G21" i="40"/>
  <c r="G20" i="40"/>
  <c r="G19" i="40"/>
  <c r="G12" i="40"/>
  <c r="E12" i="40"/>
  <c r="D12" i="40"/>
  <c r="C12" i="40"/>
  <c r="G10" i="40"/>
  <c r="G9" i="40"/>
  <c r="G8" i="40"/>
  <c r="G7" i="40"/>
  <c r="G39" i="39"/>
  <c r="E39" i="39"/>
  <c r="D39" i="39"/>
  <c r="C39" i="39"/>
  <c r="G37" i="39"/>
  <c r="G36" i="39"/>
  <c r="G35" i="39"/>
  <c r="F35" i="39"/>
  <c r="G34" i="39"/>
  <c r="G24" i="39"/>
  <c r="E24" i="39"/>
  <c r="D24" i="39"/>
  <c r="C24" i="39"/>
  <c r="G22" i="39"/>
  <c r="G21" i="39"/>
  <c r="G20" i="39"/>
  <c r="G19" i="39"/>
  <c r="G12" i="39"/>
  <c r="E12" i="39"/>
  <c r="D12" i="39"/>
  <c r="C12" i="39"/>
  <c r="G10" i="39"/>
  <c r="G9" i="39"/>
  <c r="G8" i="39"/>
  <c r="G7" i="39"/>
  <c r="G39" i="38"/>
  <c r="E39" i="38"/>
  <c r="D39" i="38"/>
  <c r="C39" i="38"/>
  <c r="G37" i="38"/>
  <c r="G36" i="38"/>
  <c r="G35" i="38"/>
  <c r="F35" i="38"/>
  <c r="G34" i="38"/>
  <c r="G24" i="38"/>
  <c r="E24" i="38"/>
  <c r="D24" i="38"/>
  <c r="C24" i="38"/>
  <c r="G22" i="38"/>
  <c r="G21" i="38"/>
  <c r="G20" i="38"/>
  <c r="G19" i="38"/>
  <c r="G12" i="38"/>
  <c r="E12" i="38"/>
  <c r="D12" i="38"/>
  <c r="C12" i="38"/>
  <c r="G10" i="38"/>
  <c r="G9" i="38"/>
  <c r="G8" i="38"/>
  <c r="G7" i="38"/>
  <c r="G39" i="37"/>
  <c r="E39" i="37"/>
  <c r="D39" i="37"/>
  <c r="C39" i="37"/>
  <c r="G37" i="37"/>
  <c r="G36" i="37"/>
  <c r="G35" i="37"/>
  <c r="F35" i="37"/>
  <c r="G34" i="37"/>
  <c r="G24" i="37"/>
  <c r="E24" i="37"/>
  <c r="D24" i="37"/>
  <c r="C24" i="37"/>
  <c r="G22" i="37"/>
  <c r="G21" i="37"/>
  <c r="G20" i="37"/>
  <c r="G19" i="37"/>
  <c r="G12" i="37"/>
  <c r="E12" i="37"/>
  <c r="D12" i="37"/>
  <c r="C12" i="37"/>
  <c r="G10" i="37"/>
  <c r="G9" i="37"/>
  <c r="G8" i="37"/>
  <c r="G7" i="37"/>
  <c r="G39" i="36"/>
  <c r="E39" i="36"/>
  <c r="D39" i="36"/>
  <c r="C39" i="36"/>
  <c r="G37" i="36"/>
  <c r="G36" i="36"/>
  <c r="G35" i="36"/>
  <c r="F35" i="36"/>
  <c r="G34" i="36"/>
  <c r="G24" i="36"/>
  <c r="E24" i="36"/>
  <c r="D24" i="36"/>
  <c r="C24" i="36"/>
  <c r="G22" i="36"/>
  <c r="G21" i="36"/>
  <c r="G20" i="36"/>
  <c r="G19" i="36"/>
  <c r="G12" i="36"/>
  <c r="E12" i="36"/>
  <c r="D12" i="36"/>
  <c r="C12" i="36"/>
  <c r="G10" i="36"/>
  <c r="G9" i="36"/>
  <c r="G8" i="36"/>
  <c r="G7" i="36"/>
  <c r="G39" i="35"/>
  <c r="E39" i="35"/>
  <c r="D39" i="35"/>
  <c r="C39" i="35"/>
  <c r="G37" i="35"/>
  <c r="G36" i="35"/>
  <c r="G35" i="35"/>
  <c r="F35" i="35"/>
  <c r="G34" i="35"/>
  <c r="G24" i="35"/>
  <c r="E24" i="35"/>
  <c r="D24" i="35"/>
  <c r="C24" i="35"/>
  <c r="G22" i="35"/>
  <c r="G21" i="35"/>
  <c r="G20" i="35"/>
  <c r="G19" i="35"/>
  <c r="G12" i="35"/>
  <c r="E12" i="35"/>
  <c r="D12" i="35"/>
  <c r="C12" i="35"/>
  <c r="G10" i="35"/>
  <c r="G9" i="35"/>
  <c r="G8" i="35"/>
  <c r="G7" i="35"/>
  <c r="G39" i="34"/>
  <c r="E39" i="34"/>
  <c r="D39" i="34"/>
  <c r="C39" i="34"/>
  <c r="G37" i="34"/>
  <c r="G36" i="34"/>
  <c r="G35" i="34"/>
  <c r="F35" i="34"/>
  <c r="G34" i="34"/>
  <c r="G24" i="34"/>
  <c r="E24" i="34"/>
  <c r="D24" i="34"/>
  <c r="C24" i="34"/>
  <c r="G22" i="34"/>
  <c r="G21" i="34"/>
  <c r="G20" i="34"/>
  <c r="G19" i="34"/>
  <c r="G12" i="34"/>
  <c r="E12" i="34"/>
  <c r="D12" i="34"/>
  <c r="C12" i="34"/>
  <c r="G10" i="34"/>
  <c r="G9" i="34"/>
  <c r="G8" i="34"/>
  <c r="G7" i="34"/>
  <c r="G39" i="33"/>
  <c r="E39" i="33"/>
  <c r="D39" i="33"/>
  <c r="C39" i="33"/>
  <c r="G37" i="33"/>
  <c r="G36" i="33"/>
  <c r="G35" i="33"/>
  <c r="F35" i="33"/>
  <c r="G34" i="33"/>
  <c r="G24" i="33"/>
  <c r="E24" i="33"/>
  <c r="D24" i="33"/>
  <c r="C24" i="33"/>
  <c r="G22" i="33"/>
  <c r="G21" i="33"/>
  <c r="G20" i="33"/>
  <c r="G19" i="33"/>
  <c r="G12" i="33"/>
  <c r="E12" i="33"/>
  <c r="D12" i="33"/>
  <c r="C12" i="33"/>
  <c r="G10" i="33"/>
  <c r="G9" i="33"/>
  <c r="G8" i="33"/>
  <c r="G7" i="33"/>
  <c r="G39" i="32"/>
  <c r="E39" i="32"/>
  <c r="D39" i="32"/>
  <c r="C39" i="32"/>
  <c r="G37" i="32"/>
  <c r="G36" i="32"/>
  <c r="G35" i="32"/>
  <c r="F35" i="32"/>
  <c r="G34" i="32"/>
  <c r="G24" i="32"/>
  <c r="E24" i="32"/>
  <c r="D24" i="32"/>
  <c r="C24" i="32"/>
  <c r="G22" i="32"/>
  <c r="G21" i="32"/>
  <c r="G20" i="32"/>
  <c r="G19" i="32"/>
  <c r="G12" i="32"/>
  <c r="E12" i="32"/>
  <c r="D12" i="32"/>
  <c r="C12" i="32"/>
  <c r="G10" i="32"/>
  <c r="G9" i="32"/>
  <c r="G8" i="32"/>
  <c r="G7" i="32"/>
  <c r="G39" i="31"/>
  <c r="E39" i="31"/>
  <c r="D39" i="31"/>
  <c r="C39" i="31"/>
  <c r="G37" i="31"/>
  <c r="G36" i="31"/>
  <c r="G35" i="31"/>
  <c r="F35" i="31"/>
  <c r="G34" i="31"/>
  <c r="G24" i="31"/>
  <c r="E24" i="31"/>
  <c r="D24" i="31"/>
  <c r="C24" i="31"/>
  <c r="G22" i="31"/>
  <c r="G21" i="31"/>
  <c r="G20" i="31"/>
  <c r="G19" i="31"/>
  <c r="G12" i="31"/>
  <c r="E12" i="31"/>
  <c r="D12" i="31"/>
  <c r="C12" i="31"/>
  <c r="G10" i="31"/>
  <c r="G9" i="31"/>
  <c r="G8" i="31"/>
  <c r="G7" i="31"/>
  <c r="G39" i="30"/>
  <c r="E39" i="30"/>
  <c r="D39" i="30"/>
  <c r="C39" i="30"/>
  <c r="G37" i="30"/>
  <c r="G36" i="30"/>
  <c r="G35" i="30"/>
  <c r="F35" i="30"/>
  <c r="G34" i="30"/>
  <c r="G24" i="30"/>
  <c r="E24" i="30"/>
  <c r="D24" i="30"/>
  <c r="C24" i="30"/>
  <c r="G22" i="30"/>
  <c r="G21" i="30"/>
  <c r="G20" i="30"/>
  <c r="G19" i="30"/>
  <c r="G12" i="30"/>
  <c r="E12" i="30"/>
  <c r="D12" i="30"/>
  <c r="C12" i="30"/>
  <c r="G10" i="30"/>
  <c r="G9" i="30"/>
  <c r="G8" i="30"/>
  <c r="G7" i="30"/>
  <c r="G39" i="29"/>
  <c r="E39" i="29"/>
  <c r="D39" i="29"/>
  <c r="C39" i="29"/>
  <c r="G37" i="29"/>
  <c r="G36" i="29"/>
  <c r="G35" i="29"/>
  <c r="F35" i="29"/>
  <c r="G34" i="29"/>
  <c r="G24" i="29"/>
  <c r="E24" i="29"/>
  <c r="D24" i="29"/>
  <c r="C24" i="29"/>
  <c r="G22" i="29"/>
  <c r="G21" i="29"/>
  <c r="G20" i="29"/>
  <c r="G19" i="29"/>
  <c r="G12" i="29"/>
  <c r="E12" i="29"/>
  <c r="D12" i="29"/>
  <c r="C12" i="29"/>
  <c r="G10" i="29"/>
  <c r="G9" i="29"/>
  <c r="G8" i="29"/>
  <c r="G7" i="29"/>
  <c r="G39" i="28"/>
  <c r="E39" i="28"/>
  <c r="D39" i="28"/>
  <c r="C39" i="28"/>
  <c r="G37" i="28"/>
  <c r="G36" i="28"/>
  <c r="G35" i="28"/>
  <c r="F35" i="28"/>
  <c r="G34" i="28"/>
  <c r="G24" i="28"/>
  <c r="E24" i="28"/>
  <c r="D24" i="28"/>
  <c r="C24" i="28"/>
  <c r="G22" i="28"/>
  <c r="G21" i="28"/>
  <c r="G20" i="28"/>
  <c r="G19" i="28"/>
  <c r="G12" i="28"/>
  <c r="E12" i="28"/>
  <c r="D12" i="28"/>
  <c r="C12" i="28"/>
  <c r="G10" i="28"/>
  <c r="G9" i="28"/>
  <c r="G8" i="28"/>
  <c r="G7" i="28"/>
  <c r="G39" i="27"/>
  <c r="E39" i="27"/>
  <c r="D39" i="27"/>
  <c r="C39" i="27"/>
  <c r="G37" i="27"/>
  <c r="G36" i="27"/>
  <c r="G35" i="27"/>
  <c r="G34" i="27"/>
  <c r="G24" i="27"/>
  <c r="E24" i="27"/>
  <c r="D24" i="27"/>
  <c r="C24" i="27"/>
  <c r="G22" i="27"/>
  <c r="G21" i="27"/>
  <c r="G20" i="27"/>
  <c r="G19" i="27"/>
  <c r="G12" i="27"/>
  <c r="E12" i="27"/>
  <c r="D12" i="27"/>
  <c r="C12" i="27"/>
  <c r="G10" i="27"/>
  <c r="G9" i="27"/>
  <c r="G8" i="27"/>
  <c r="G7" i="27"/>
  <c r="G15" i="26"/>
  <c r="E15" i="26"/>
  <c r="D15" i="26"/>
  <c r="C15" i="26"/>
  <c r="G13" i="26"/>
  <c r="G12" i="26"/>
  <c r="G11" i="26"/>
  <c r="G10" i="26"/>
  <c r="G39" i="25"/>
  <c r="E39" i="25"/>
  <c r="D39" i="25"/>
  <c r="C39" i="25"/>
  <c r="G37" i="25"/>
  <c r="G36" i="25"/>
  <c r="G35" i="25"/>
  <c r="F35" i="25"/>
  <c r="G34" i="25"/>
  <c r="G24" i="25"/>
  <c r="E24" i="25"/>
  <c r="D24" i="25"/>
  <c r="C24" i="25"/>
  <c r="G22" i="25"/>
  <c r="G21" i="25"/>
  <c r="G20" i="25"/>
  <c r="G19" i="25"/>
  <c r="G12" i="25"/>
  <c r="E12" i="25"/>
  <c r="D12" i="25"/>
  <c r="C12" i="25"/>
  <c r="G10" i="25"/>
  <c r="G9" i="25"/>
  <c r="G8" i="25"/>
  <c r="G7" i="25"/>
  <c r="G39" i="24"/>
  <c r="E39" i="24"/>
  <c r="D39" i="24"/>
  <c r="C39" i="24"/>
  <c r="G37" i="24"/>
  <c r="G36" i="24"/>
  <c r="G35" i="24"/>
  <c r="F35" i="24"/>
  <c r="G34" i="24"/>
  <c r="G24" i="24"/>
  <c r="E24" i="24"/>
  <c r="D24" i="24"/>
  <c r="C24" i="24"/>
  <c r="G22" i="24"/>
  <c r="G21" i="24"/>
  <c r="G20" i="24"/>
  <c r="G19" i="24"/>
  <c r="G12" i="24"/>
  <c r="E12" i="24"/>
  <c r="D12" i="24"/>
  <c r="C12" i="24"/>
  <c r="G10" i="24"/>
  <c r="G9" i="24"/>
  <c r="G8" i="24"/>
  <c r="G7" i="24"/>
  <c r="G38" i="23"/>
  <c r="E38" i="23"/>
  <c r="D38" i="23"/>
  <c r="C38" i="23"/>
  <c r="G36" i="23"/>
  <c r="G35" i="23"/>
  <c r="G34" i="23"/>
  <c r="G24" i="23"/>
  <c r="E24" i="23"/>
  <c r="D24" i="23"/>
  <c r="C24" i="23"/>
  <c r="G22" i="23"/>
  <c r="G21" i="23"/>
  <c r="G20" i="23"/>
  <c r="G19" i="23"/>
  <c r="G12" i="23"/>
  <c r="E12" i="23"/>
  <c r="D12" i="23"/>
  <c r="C12" i="23"/>
  <c r="G10" i="23"/>
  <c r="G9" i="23"/>
  <c r="G8" i="23"/>
  <c r="G7" i="23"/>
  <c r="G40" i="22"/>
  <c r="E40" i="22"/>
  <c r="D40" i="22"/>
  <c r="C40" i="22"/>
  <c r="G38" i="22"/>
  <c r="G37" i="22"/>
  <c r="G36" i="22"/>
  <c r="G35" i="22"/>
  <c r="F35" i="22"/>
  <c r="G34" i="22"/>
  <c r="F34" i="22"/>
  <c r="G24" i="22"/>
  <c r="E24" i="22"/>
  <c r="D24" i="22"/>
  <c r="C24" i="22"/>
  <c r="G22" i="22"/>
  <c r="G21" i="22"/>
  <c r="G20" i="22"/>
  <c r="G19" i="22"/>
  <c r="G12" i="22"/>
  <c r="E12" i="22"/>
  <c r="D12" i="22"/>
  <c r="C12" i="22"/>
  <c r="G10" i="22"/>
  <c r="G9" i="22"/>
  <c r="G8" i="22"/>
  <c r="G7" i="22"/>
  <c r="G41" i="21"/>
  <c r="E41" i="21"/>
  <c r="D41" i="21"/>
  <c r="C41" i="21"/>
  <c r="G39" i="21"/>
  <c r="G38" i="21"/>
  <c r="G37" i="21"/>
  <c r="F37" i="21"/>
  <c r="G36" i="21"/>
  <c r="F36" i="21"/>
  <c r="G35" i="21"/>
  <c r="F35" i="21"/>
  <c r="G34" i="21"/>
  <c r="G24" i="21"/>
  <c r="E24" i="21"/>
  <c r="D24" i="21"/>
  <c r="C24" i="21"/>
  <c r="G22" i="21"/>
  <c r="G21" i="21"/>
  <c r="G20" i="21"/>
  <c r="G19" i="21"/>
  <c r="G12" i="21"/>
  <c r="E12" i="21"/>
  <c r="D12" i="21"/>
  <c r="C12" i="21"/>
  <c r="G10" i="21"/>
  <c r="G9" i="21"/>
  <c r="G8" i="21"/>
  <c r="G7" i="21"/>
  <c r="G40" i="20"/>
  <c r="E40" i="20"/>
  <c r="D40" i="20"/>
  <c r="C40" i="20"/>
  <c r="G38" i="20"/>
  <c r="G37" i="20"/>
  <c r="G36" i="20"/>
  <c r="F36" i="20"/>
  <c r="G35" i="20"/>
  <c r="F35" i="20"/>
  <c r="G34" i="20"/>
  <c r="G24" i="20"/>
  <c r="E24" i="20"/>
  <c r="D24" i="20"/>
  <c r="C24" i="20"/>
  <c r="G22" i="20"/>
  <c r="G21" i="20"/>
  <c r="G20" i="20"/>
  <c r="G19" i="20"/>
  <c r="G12" i="20"/>
  <c r="E12" i="20"/>
  <c r="D12" i="20"/>
  <c r="C12" i="20"/>
  <c r="G10" i="20"/>
  <c r="G9" i="20"/>
  <c r="G8" i="20"/>
  <c r="G7" i="20"/>
  <c r="G40" i="19"/>
  <c r="E40" i="19"/>
  <c r="D40" i="19"/>
  <c r="C40" i="19"/>
  <c r="G38" i="19"/>
  <c r="G37" i="19"/>
  <c r="G36" i="19"/>
  <c r="F36" i="19"/>
  <c r="G35" i="19"/>
  <c r="F35" i="19"/>
  <c r="G34" i="19"/>
  <c r="G24" i="19"/>
  <c r="E24" i="19"/>
  <c r="D24" i="19"/>
  <c r="C24" i="19"/>
  <c r="G22" i="19"/>
  <c r="G21" i="19"/>
  <c r="G20" i="19"/>
  <c r="G19" i="19"/>
  <c r="G12" i="19"/>
  <c r="E12" i="19"/>
  <c r="D12" i="19"/>
  <c r="C12" i="19"/>
  <c r="G10" i="19"/>
  <c r="G9" i="19"/>
  <c r="G8" i="19"/>
  <c r="G7" i="19"/>
  <c r="G38" i="18"/>
  <c r="E38" i="18"/>
  <c r="D38" i="18"/>
  <c r="C38" i="18"/>
  <c r="G36" i="18"/>
  <c r="G35" i="18"/>
  <c r="G34" i="18"/>
  <c r="G24" i="18"/>
  <c r="E24" i="18"/>
  <c r="D24" i="18"/>
  <c r="C24" i="18"/>
  <c r="G22" i="18"/>
  <c r="G21" i="18"/>
  <c r="G20" i="18"/>
  <c r="G19" i="18"/>
  <c r="G12" i="18"/>
  <c r="E12" i="18"/>
  <c r="D12" i="18"/>
  <c r="C12" i="18"/>
  <c r="G10" i="18"/>
  <c r="G9" i="18"/>
  <c r="G8" i="18"/>
  <c r="G7" i="18"/>
  <c r="G45" i="17"/>
  <c r="E45" i="17"/>
  <c r="D45" i="17"/>
  <c r="C45" i="17"/>
  <c r="G43" i="17"/>
  <c r="F43" i="17"/>
  <c r="G42" i="17"/>
  <c r="F42" i="17"/>
  <c r="G41" i="17"/>
  <c r="F41" i="17"/>
  <c r="G40" i="17"/>
  <c r="F40" i="17"/>
  <c r="G39" i="17"/>
  <c r="F39" i="17"/>
  <c r="G38" i="17"/>
  <c r="F38" i="17"/>
  <c r="G37" i="17"/>
  <c r="F37" i="17"/>
  <c r="G36" i="17"/>
  <c r="F36" i="17"/>
  <c r="G35" i="17"/>
  <c r="F35" i="17"/>
  <c r="G34" i="17"/>
  <c r="G24" i="17"/>
  <c r="E24" i="17"/>
  <c r="D24" i="17"/>
  <c r="C24" i="17"/>
  <c r="G22" i="17"/>
  <c r="G21" i="17"/>
  <c r="G20" i="17"/>
  <c r="G19" i="17"/>
  <c r="G12" i="17"/>
  <c r="E12" i="17"/>
  <c r="D12" i="17"/>
  <c r="C12" i="17"/>
  <c r="G10" i="17"/>
  <c r="G9" i="17"/>
  <c r="G8" i="17"/>
  <c r="G7" i="17"/>
  <c r="G41" i="16"/>
  <c r="E41" i="16"/>
  <c r="D41" i="16"/>
  <c r="C41" i="16"/>
  <c r="G39" i="16"/>
  <c r="G38" i="16"/>
  <c r="G37" i="16"/>
  <c r="F37" i="16"/>
  <c r="G36" i="16"/>
  <c r="G35" i="16"/>
  <c r="G34" i="16"/>
  <c r="G24" i="16"/>
  <c r="E24" i="16"/>
  <c r="D24" i="16"/>
  <c r="C24" i="16"/>
  <c r="G22" i="16"/>
  <c r="G21" i="16"/>
  <c r="G20" i="16"/>
  <c r="G19" i="16"/>
  <c r="G12" i="16"/>
  <c r="E12" i="16"/>
  <c r="D12" i="16"/>
  <c r="C12" i="16"/>
  <c r="G10" i="16"/>
  <c r="G9" i="16"/>
  <c r="G8" i="16"/>
  <c r="G7" i="16"/>
  <c r="G40" i="15"/>
  <c r="E40" i="15"/>
  <c r="D40" i="15"/>
  <c r="C40" i="15"/>
  <c r="G38" i="15"/>
  <c r="G37" i="15"/>
  <c r="G36" i="15"/>
  <c r="F36" i="15"/>
  <c r="G35" i="15"/>
  <c r="F35" i="15"/>
  <c r="G34" i="15"/>
  <c r="F34" i="15"/>
  <c r="G24" i="15"/>
  <c r="E24" i="15"/>
  <c r="D24" i="15"/>
  <c r="C24" i="15"/>
  <c r="G22" i="15"/>
  <c r="G21" i="15"/>
  <c r="G20" i="15"/>
  <c r="G19" i="15"/>
  <c r="G12" i="15"/>
  <c r="E12" i="15"/>
  <c r="D12" i="15"/>
  <c r="C12" i="15"/>
  <c r="G10" i="15"/>
  <c r="G9" i="15"/>
  <c r="G8" i="15"/>
  <c r="G7" i="15"/>
  <c r="G39" i="14"/>
  <c r="E39" i="14"/>
  <c r="D39" i="14"/>
  <c r="C39" i="14"/>
  <c r="G37" i="14"/>
  <c r="G36" i="14"/>
  <c r="G35" i="14"/>
  <c r="F35" i="14"/>
  <c r="G34" i="14"/>
  <c r="F34" i="14"/>
  <c r="G24" i="14"/>
  <c r="E24" i="14"/>
  <c r="D24" i="14"/>
  <c r="C24" i="14"/>
  <c r="G22" i="14"/>
  <c r="G21" i="14"/>
  <c r="G20" i="14"/>
  <c r="G19" i="14"/>
  <c r="G12" i="14"/>
  <c r="E12" i="14"/>
  <c r="D12" i="14"/>
  <c r="C12" i="14"/>
  <c r="G10" i="14"/>
  <c r="G9" i="14"/>
  <c r="G8" i="14"/>
  <c r="G7" i="14"/>
  <c r="G37" i="13"/>
  <c r="E37" i="13"/>
  <c r="D37" i="13"/>
  <c r="G35" i="13"/>
  <c r="G34" i="13"/>
  <c r="G24" i="13"/>
  <c r="E24" i="13"/>
  <c r="D24" i="13"/>
  <c r="C24" i="13"/>
  <c r="G22" i="13"/>
  <c r="G21" i="13"/>
  <c r="G20" i="13"/>
  <c r="G19" i="13"/>
  <c r="G12" i="13"/>
  <c r="E12" i="13"/>
  <c r="D12" i="13"/>
  <c r="C12" i="13"/>
  <c r="G10" i="13"/>
  <c r="G9" i="13"/>
  <c r="G8" i="13"/>
  <c r="G7" i="13"/>
  <c r="G45" i="12"/>
  <c r="E45" i="12"/>
  <c r="D45" i="12"/>
  <c r="C45" i="12"/>
  <c r="G43" i="12"/>
  <c r="G42" i="12"/>
  <c r="G41" i="12"/>
  <c r="F41" i="12"/>
  <c r="G40" i="12"/>
  <c r="F40" i="12"/>
  <c r="G39" i="12"/>
  <c r="F39" i="12"/>
  <c r="G38" i="12"/>
  <c r="F38" i="12"/>
  <c r="G37" i="12"/>
  <c r="F37" i="12"/>
  <c r="G36" i="12"/>
  <c r="F36" i="12"/>
  <c r="G35" i="12"/>
  <c r="F35" i="12"/>
  <c r="G34" i="12"/>
  <c r="F34" i="12"/>
  <c r="G24" i="12"/>
  <c r="E24" i="12"/>
  <c r="D24" i="12"/>
  <c r="C24" i="12"/>
  <c r="G22" i="12"/>
  <c r="F22" i="12"/>
  <c r="G21" i="12"/>
  <c r="F21" i="12"/>
  <c r="G20" i="12"/>
  <c r="F20" i="12"/>
  <c r="G19" i="12"/>
  <c r="F19" i="12"/>
  <c r="G18" i="12"/>
  <c r="G12" i="12"/>
  <c r="E12" i="12"/>
  <c r="D12" i="12"/>
  <c r="C12" i="12"/>
  <c r="G10" i="12"/>
  <c r="G9" i="12"/>
  <c r="G8" i="12"/>
  <c r="G7" i="12"/>
  <c r="G43" i="11"/>
  <c r="E43" i="11"/>
  <c r="D43" i="11"/>
  <c r="C43" i="11"/>
  <c r="G41" i="11"/>
  <c r="G40" i="11"/>
  <c r="G39" i="11"/>
  <c r="F39" i="11"/>
  <c r="G38" i="11"/>
  <c r="G37" i="11"/>
  <c r="G36" i="11"/>
  <c r="G35" i="11"/>
  <c r="G34" i="11"/>
  <c r="G24" i="11"/>
  <c r="E24" i="11"/>
  <c r="D24" i="11"/>
  <c r="C24" i="11"/>
  <c r="G22" i="11"/>
  <c r="G21" i="11"/>
  <c r="G20" i="11"/>
  <c r="G19" i="11"/>
  <c r="G12" i="11"/>
  <c r="E12" i="11"/>
  <c r="D12" i="11"/>
  <c r="C12" i="11"/>
  <c r="G10" i="11"/>
  <c r="G9" i="11"/>
  <c r="G8" i="11"/>
  <c r="G7" i="11"/>
  <c r="G40" i="10"/>
  <c r="E40" i="10"/>
  <c r="D40" i="10"/>
  <c r="C40" i="10"/>
  <c r="G38" i="10"/>
  <c r="G37" i="10"/>
  <c r="G36" i="10"/>
  <c r="F36" i="10"/>
  <c r="G35" i="10"/>
  <c r="F35" i="10"/>
  <c r="G34" i="10"/>
  <c r="G24" i="10"/>
  <c r="E24" i="10"/>
  <c r="D24" i="10"/>
  <c r="C24" i="10"/>
  <c r="G22" i="10"/>
  <c r="G21" i="10"/>
  <c r="G20" i="10"/>
  <c r="G19" i="10"/>
  <c r="G12" i="10"/>
  <c r="E12" i="10"/>
  <c r="D12" i="10"/>
  <c r="C12" i="10"/>
  <c r="G10" i="10"/>
  <c r="G9" i="10"/>
  <c r="G8" i="10"/>
  <c r="G7" i="10"/>
  <c r="G10" i="9"/>
  <c r="E10" i="9"/>
  <c r="D10" i="9"/>
  <c r="G8" i="9"/>
  <c r="G7" i="9"/>
  <c r="G6" i="9"/>
  <c r="G10" i="8"/>
  <c r="E10" i="8"/>
  <c r="D10" i="8"/>
  <c r="G8" i="8"/>
  <c r="G7" i="8"/>
  <c r="G6" i="8"/>
  <c r="G16" i="7"/>
  <c r="E16" i="7"/>
  <c r="D16" i="7"/>
  <c r="C16" i="7"/>
  <c r="G14" i="7"/>
  <c r="F14" i="7"/>
  <c r="G13" i="7"/>
  <c r="F13" i="7"/>
  <c r="G12" i="7"/>
  <c r="F12" i="7"/>
  <c r="G11" i="7"/>
  <c r="F11" i="7"/>
  <c r="G10" i="7"/>
  <c r="F10" i="7"/>
  <c r="G9" i="7"/>
  <c r="F9" i="7"/>
  <c r="G8" i="7"/>
  <c r="F8" i="7"/>
  <c r="G7" i="7"/>
  <c r="F7" i="7"/>
  <c r="G6" i="7"/>
  <c r="G45" i="6"/>
  <c r="E45" i="6"/>
  <c r="D45" i="6"/>
  <c r="C45" i="6"/>
  <c r="G43" i="6"/>
  <c r="F43" i="6"/>
  <c r="G42" i="6"/>
  <c r="F42" i="6"/>
  <c r="G41" i="6"/>
  <c r="F41" i="6"/>
  <c r="G40" i="6"/>
  <c r="F40" i="6"/>
  <c r="G39" i="6"/>
  <c r="F39" i="6"/>
  <c r="G38" i="6"/>
  <c r="F38" i="6"/>
  <c r="G37" i="6"/>
  <c r="F37" i="6"/>
  <c r="G36" i="6"/>
  <c r="F36" i="6"/>
  <c r="G35" i="6"/>
  <c r="F35" i="6"/>
  <c r="G34" i="6"/>
  <c r="F34" i="6"/>
  <c r="G24" i="6"/>
  <c r="E24" i="6"/>
  <c r="D24" i="6"/>
  <c r="C24" i="6"/>
  <c r="G22" i="6"/>
  <c r="G21" i="6"/>
  <c r="G20" i="6"/>
  <c r="G19" i="6"/>
  <c r="G12" i="6"/>
  <c r="E12" i="6"/>
  <c r="D12" i="6"/>
  <c r="C12" i="6"/>
  <c r="G10" i="6"/>
  <c r="F10" i="6"/>
  <c r="G9" i="6"/>
  <c r="F9" i="6"/>
  <c r="G8" i="6"/>
  <c r="F8" i="6"/>
  <c r="G7" i="6"/>
  <c r="F7" i="6"/>
  <c r="G6" i="6"/>
  <c r="F6" i="6"/>
  <c r="C20" i="3"/>
  <c r="G14" i="3"/>
  <c r="C14" i="3"/>
  <c r="G12" i="3"/>
  <c r="F12" i="3"/>
  <c r="G11" i="3"/>
  <c r="F11" i="3"/>
  <c r="G10" i="3"/>
  <c r="F10" i="3"/>
  <c r="G9" i="3"/>
  <c r="F9" i="3"/>
  <c r="G8" i="3"/>
  <c r="F8" i="3"/>
  <c r="G7" i="3"/>
  <c r="F7" i="3"/>
  <c r="G65" i="1"/>
  <c r="G31" i="1"/>
  <c r="I12" i="1"/>
  <c r="G11" i="1"/>
  <c r="H9" i="58" l="1"/>
  <c r="I9" i="58" s="1"/>
  <c r="I18" i="58" s="1"/>
  <c r="F18" i="58"/>
  <c r="G9" i="58" s="1"/>
  <c r="F7" i="4"/>
  <c r="G6" i="57"/>
  <c r="D28" i="56"/>
  <c r="F10" i="56"/>
  <c r="D19" i="56"/>
  <c r="F7" i="5"/>
  <c r="G64" i="1"/>
  <c r="G30" i="1"/>
  <c r="G26" i="1"/>
  <c r="G25" i="1"/>
  <c r="G27" i="1"/>
  <c r="G12" i="1"/>
  <c r="G21" i="1"/>
  <c r="G20" i="1"/>
  <c r="G16" i="58" l="1"/>
  <c r="G17" i="58"/>
  <c r="G13" i="58"/>
  <c r="G11" i="58"/>
  <c r="G8" i="58"/>
  <c r="F19" i="58"/>
  <c r="F20" i="58" s="1"/>
  <c r="G10" i="58"/>
  <c r="G14" i="58"/>
  <c r="G7" i="58"/>
  <c r="G12" i="58"/>
  <c r="G15" i="58"/>
  <c r="G6" i="58"/>
  <c r="G7" i="5"/>
  <c r="E17" i="56"/>
  <c r="E16" i="56"/>
  <c r="E9" i="56"/>
  <c r="E18" i="56"/>
  <c r="E8" i="56"/>
  <c r="E14" i="56"/>
  <c r="E13" i="56"/>
  <c r="E7" i="56"/>
  <c r="E12" i="56"/>
  <c r="E15" i="56"/>
  <c r="E11" i="56"/>
  <c r="E10" i="56"/>
  <c r="G10" i="56"/>
  <c r="F19" i="56"/>
  <c r="F14" i="5"/>
  <c r="G14" i="5" s="1"/>
  <c r="F12" i="5"/>
  <c r="G12" i="5" s="1"/>
  <c r="H15" i="4"/>
  <c r="I15" i="4" s="1"/>
  <c r="G19" i="1"/>
  <c r="G24" i="1"/>
  <c r="G10" i="1"/>
  <c r="F8" i="4" s="1"/>
  <c r="H9" i="4"/>
  <c r="I9" i="4" s="1"/>
  <c r="H7" i="4"/>
  <c r="I7" i="4" s="1"/>
  <c r="H13" i="4"/>
  <c r="I13" i="4" s="1"/>
  <c r="G18" i="58" l="1"/>
  <c r="F10" i="4"/>
  <c r="G66" i="1"/>
  <c r="E19" i="56"/>
  <c r="M10" i="56"/>
  <c r="M19" i="56" s="1"/>
  <c r="O10" i="56"/>
  <c r="O19" i="56" s="1"/>
  <c r="Q10" i="56"/>
  <c r="I10" i="56"/>
  <c r="I19" i="56" s="1"/>
  <c r="K10" i="56"/>
  <c r="K19" i="56" s="1"/>
  <c r="F8" i="5"/>
  <c r="F10" i="5"/>
  <c r="G67" i="1"/>
  <c r="M12" i="5"/>
  <c r="H10" i="4"/>
  <c r="I10" i="4" s="1"/>
  <c r="H14" i="4"/>
  <c r="I14" i="4" s="1"/>
  <c r="H11" i="4"/>
  <c r="I11" i="4" s="1"/>
  <c r="H8" i="4"/>
  <c r="I8" i="4" s="1"/>
  <c r="M7" i="5"/>
  <c r="K7" i="5"/>
  <c r="I7" i="5"/>
  <c r="M9" i="5"/>
  <c r="K9" i="5"/>
  <c r="I9" i="5"/>
  <c r="G8" i="5" l="1"/>
  <c r="F17" i="5"/>
  <c r="P19" i="56"/>
  <c r="N19" i="56"/>
  <c r="J19" i="56"/>
  <c r="L19" i="56"/>
  <c r="H19" i="56"/>
  <c r="I20" i="56"/>
  <c r="F11" i="5"/>
  <c r="G11" i="5" s="1"/>
  <c r="E10" i="5"/>
  <c r="G10" i="5"/>
  <c r="H12" i="4"/>
  <c r="I12" i="4" s="1"/>
  <c r="G68" i="1"/>
  <c r="M8" i="5"/>
  <c r="M13" i="5"/>
  <c r="K13" i="5"/>
  <c r="I12" i="5"/>
  <c r="K12" i="5"/>
  <c r="M14" i="5"/>
  <c r="K14" i="5"/>
  <c r="I14" i="5"/>
  <c r="I8" i="5" l="1"/>
  <c r="I17" i="5" s="1"/>
  <c r="G17" i="5"/>
  <c r="K8" i="5"/>
  <c r="D29" i="56"/>
  <c r="D30" i="56" s="1"/>
  <c r="G8" i="57"/>
  <c r="G10" i="57" s="1"/>
  <c r="H20" i="56"/>
  <c r="J20" i="56" s="1"/>
  <c r="L20" i="56" s="1"/>
  <c r="N20" i="56" s="1"/>
  <c r="P20" i="56" s="1"/>
  <c r="K20" i="56"/>
  <c r="M20" i="56" s="1"/>
  <c r="O20" i="56" s="1"/>
  <c r="I11" i="5"/>
  <c r="K11" i="5"/>
  <c r="M10" i="5"/>
  <c r="M17" i="5" s="1"/>
  <c r="I10" i="5"/>
  <c r="K10" i="5"/>
  <c r="M11" i="5"/>
  <c r="F18" i="4"/>
  <c r="F19" i="4" s="1"/>
  <c r="E9" i="5"/>
  <c r="E13" i="5"/>
  <c r="E11" i="5"/>
  <c r="E12" i="5"/>
  <c r="E14" i="5"/>
  <c r="E8" i="5"/>
  <c r="E7" i="5"/>
  <c r="K17" i="5" l="1"/>
  <c r="J17" i="5" s="1"/>
  <c r="E17" i="5"/>
  <c r="I17" i="4"/>
  <c r="G17" i="4" l="1"/>
  <c r="L17" i="5"/>
  <c r="H17" i="5"/>
  <c r="H25" i="5"/>
  <c r="I18" i="5"/>
  <c r="K18" i="5" s="1"/>
  <c r="H18" i="5" l="1"/>
  <c r="J18" i="5" s="1"/>
  <c r="L18" i="5" s="1"/>
</calcChain>
</file>

<file path=xl/sharedStrings.xml><?xml version="1.0" encoding="utf-8"?>
<sst xmlns="http://schemas.openxmlformats.org/spreadsheetml/2006/main" count="4825" uniqueCount="579">
  <si>
    <t>IFPB</t>
  </si>
  <si>
    <t>ITEM</t>
  </si>
  <si>
    <t>REFERÊNCIA</t>
  </si>
  <si>
    <t>DISCRIMINAÇÃO</t>
  </si>
  <si>
    <t>QUANT</t>
  </si>
  <si>
    <t>UNID</t>
  </si>
  <si>
    <t>VALOR UNITÁRIOS (R$)</t>
  </si>
  <si>
    <t>V.TOTAL(R$)</t>
  </si>
  <si>
    <t>Serviço</t>
  </si>
  <si>
    <t>1.0</t>
  </si>
  <si>
    <t>1.1</t>
  </si>
  <si>
    <t>TOTAL</t>
  </si>
  <si>
    <t>2.0</t>
  </si>
  <si>
    <t>2.1</t>
  </si>
  <si>
    <t>SINAPI 72142</t>
  </si>
  <si>
    <t>REITORIA</t>
  </si>
  <si>
    <t>2.2</t>
  </si>
  <si>
    <t>3.0</t>
  </si>
  <si>
    <t>SINAPI 74070/001</t>
  </si>
  <si>
    <t>4.0</t>
  </si>
  <si>
    <t>PINTURA</t>
  </si>
  <si>
    <t>SINAPI 88489</t>
  </si>
  <si>
    <t>SINAPI 6082</t>
  </si>
  <si>
    <t>SINAPI 88497</t>
  </si>
  <si>
    <t>TOTAL PARCIAL</t>
  </si>
  <si>
    <t>TOTAL GERAL</t>
  </si>
  <si>
    <t>m²</t>
  </si>
  <si>
    <t>ALVENARIAS DE VEDAÇÃO E DIVISÓRIAS</t>
  </si>
  <si>
    <t>Descrição da composição</t>
  </si>
  <si>
    <t>unid</t>
  </si>
  <si>
    <t>quant.</t>
  </si>
  <si>
    <t>custo unit.</t>
  </si>
  <si>
    <t>custo total</t>
  </si>
  <si>
    <t>90803/SINAPI</t>
  </si>
  <si>
    <t>Código</t>
  </si>
  <si>
    <t>90819/SINAPI</t>
  </si>
  <si>
    <t>Aduela / marco / batente para porta de 90x210cm, fixação com argamassa - somente instalação. af_08/2015_p</t>
  </si>
  <si>
    <t>90829/SINAPI</t>
  </si>
  <si>
    <t>Alizar / guarnição de 5x1,5cm para porta de 90x210cm fixado com pregos, padrão médio - fornecimento e instalação. af_08/2015_p</t>
  </si>
  <si>
    <t>Fechadura de embutir com cilindro, externa, completa, acabamento padrão médio, incluso execução de furo - fornecimento e instalação. af_08/2015</t>
  </si>
  <si>
    <t>90830/SINAPI</t>
  </si>
  <si>
    <t>Equipamento</t>
  </si>
  <si>
    <t>material</t>
  </si>
  <si>
    <t>Mão-de-obra</t>
  </si>
  <si>
    <t>Enc. Social</t>
  </si>
  <si>
    <t>Terceiros</t>
  </si>
  <si>
    <t>Valor Total</t>
  </si>
  <si>
    <t>09276/ORSE</t>
  </si>
  <si>
    <t>Porta madeira maciça (angico), lisa - 90 x 210 x 3,5cm</t>
  </si>
  <si>
    <t>LAMINADO MELAMINICO TEXTURIZADO, ESPESSURA 0,8 MM, PARA REVESTIMENTO DE CHAPA COMPENSADA DE MADEIRA, FIXADA COM COLA</t>
  </si>
  <si>
    <t>7100/SINAPI</t>
  </si>
  <si>
    <t>Aduela / marco / batente para porta de 90x210cm, padrão popular - fornecimento e montagem. af_08/2015</t>
  </si>
  <si>
    <t>3.1</t>
  </si>
  <si>
    <t>3.2</t>
  </si>
  <si>
    <t>REVESTIMENTO</t>
  </si>
  <si>
    <t>Parede de gesso acartonado, Dry-Wall d 100/75/60 2 st 12,5mm sistemas lafarge gypsum (ou similar) - com Isolamento acústico c/ painel em lã de vidro e = 50mm (isover-santa marina ref psi - 30/50mm ou similar),preenchimento com lã mineral de 50 mm de espessura.</t>
  </si>
  <si>
    <t>00188/ORSE + 01979/ORSE</t>
  </si>
  <si>
    <t>5.0</t>
  </si>
  <si>
    <t>5.1</t>
  </si>
  <si>
    <t>5.2</t>
  </si>
  <si>
    <t>Composição de preço</t>
  </si>
  <si>
    <t>3.2 - Kit de porta de madeira para pintura, semi-oca (leve ou média), 90x210cm, espessura de 3,5cm, itens inclusos: laminado melaminico, espessura de 0,8mm, fixada com cola, dobradiças, montagem e instalação do batente, fechadura com execução do furo - fornecimento e instalação. af_08/2015</t>
  </si>
  <si>
    <t>6.0</t>
  </si>
  <si>
    <t>6.1</t>
  </si>
  <si>
    <t>6.2</t>
  </si>
  <si>
    <t>m</t>
  </si>
  <si>
    <t>7.0</t>
  </si>
  <si>
    <t>7.1</t>
  </si>
  <si>
    <t>ORÇAMENTO RESUMO</t>
  </si>
  <si>
    <t>TOTAL ITEM (R$)</t>
  </si>
  <si>
    <t>%</t>
  </si>
  <si>
    <t>CRONOGRAMA FÍSICO-FINANCEIRO</t>
  </si>
  <si>
    <t>V.PARCIAL(R$)</t>
  </si>
  <si>
    <t>V.TOTAL(R$) c/ BDI</t>
  </si>
  <si>
    <t>30 Dias</t>
  </si>
  <si>
    <t>60 Dias</t>
  </si>
  <si>
    <t>Valor(R$)</t>
  </si>
  <si>
    <t>TOTAL ACUMULADO</t>
  </si>
  <si>
    <t xml:space="preserve">2.3 - Divisória naval, tipo cega - Sistema de montagem simplificada com rodapés simples - painéis de no mínimo 35 mm (trinta e cinco milímetros) de espessura, de chapa dura de fibras de eucalipto prensada, com acabamento em resina melamínica de baixa pressão na cor cristal e perfis em aço galvanizado pintado em epóxi na cor cinza - Incluindo instalação e materiais necessários. </t>
  </si>
  <si>
    <t>Montador de estrutura metálica</t>
  </si>
  <si>
    <t>servente</t>
  </si>
  <si>
    <t>encargos complementares - servente</t>
  </si>
  <si>
    <t>encargos complementares - montador</t>
  </si>
  <si>
    <t>25957/SINAPI</t>
  </si>
  <si>
    <t>06111/SINAPI</t>
  </si>
  <si>
    <t>10549/ORSE</t>
  </si>
  <si>
    <t>10605/ORSE</t>
  </si>
  <si>
    <t>h</t>
  </si>
  <si>
    <t>Divisória naval - tipo cega</t>
  </si>
  <si>
    <t xml:space="preserve">3.1 - Porta completa em divisória naval simples, com no mínimo 35 mm (trinta e cinco milímetros) de espessura, de chapa dura de fibras de eucalipto prensada, com acabamento em resina melamínica de baixa pressão na cor cristal, medindo 2,10m x 0,90m x 35mm, com fechadura, tipo tubular, cor a ser definida conforme portfólio, com chave (02 cópias)/botão de girar, trincos 90 mm e 61 mm - Incluindo instalação e materiais necessários. </t>
  </si>
  <si>
    <t>Porta em divisória naval simples</t>
  </si>
  <si>
    <t>3.3</t>
  </si>
  <si>
    <t>forro pvc</t>
  </si>
  <si>
    <t>02651/ORSE</t>
  </si>
  <si>
    <t>Arame galvanizado com revestimento em pvc,14bwg (2,8 mm) - 0,031kg/m</t>
  </si>
  <si>
    <t>Kg</t>
  </si>
  <si>
    <t>02682/ORSE</t>
  </si>
  <si>
    <t>Parafuso c/ bucha S-6</t>
  </si>
  <si>
    <t>08214/ORSE</t>
  </si>
  <si>
    <t>Rebite de alumínio ead 440 Ø 1/8"</t>
  </si>
  <si>
    <t>10234/ORSE</t>
  </si>
  <si>
    <t>Perfis em aço galvanizado e "T" invertido</t>
  </si>
  <si>
    <t>SEVIÇOS COMPLEMENTARES</t>
  </si>
  <si>
    <t>LIMPEZA FINAL DA OBRA</t>
  </si>
  <si>
    <t>SERVIÇOS PRELIMINARES</t>
  </si>
  <si>
    <t>m³</t>
  </si>
  <si>
    <t>9537/SINAPI</t>
  </si>
  <si>
    <t>93654/SINAPI</t>
  </si>
  <si>
    <t>93655/SINAPI</t>
  </si>
  <si>
    <t>91926/SINAPI</t>
  </si>
  <si>
    <t>91928/SINAPI</t>
  </si>
  <si>
    <t>91930/SINAPI</t>
  </si>
  <si>
    <t>CLIMATIZAÇÃO</t>
  </si>
  <si>
    <t>TUBO PVC SOLDÁVEL DE 20MM</t>
  </si>
  <si>
    <t>JOELHO PVC, SOLDAVEL, 90 GRAUS, 20 MM, PARA AGUA FRIA PREDIAL</t>
  </si>
  <si>
    <t>3542/SINAPI</t>
  </si>
  <si>
    <t>Adesivo pvc em frasco de 850 gramas</t>
  </si>
  <si>
    <t>Solucao limpadora pvc</t>
  </si>
  <si>
    <t>02036/ORSE</t>
  </si>
  <si>
    <t>00138/ORSE</t>
  </si>
  <si>
    <t>AREIA MÉDIA</t>
  </si>
  <si>
    <t>ENCANADOR</t>
  </si>
  <si>
    <t>encargos complementares - encanador</t>
  </si>
  <si>
    <t>l</t>
  </si>
  <si>
    <t>CIMENTO PORTLAND COMPOSTO CP II-32</t>
  </si>
  <si>
    <t>1379/SINAPI</t>
  </si>
  <si>
    <t>02696/SINAPI</t>
  </si>
  <si>
    <t>370/SINAPI</t>
  </si>
  <si>
    <t>8.0</t>
  </si>
  <si>
    <t>8.1</t>
  </si>
  <si>
    <t>FORNECIMENTO E LANÇAMENTO DE CABO UTP 4 PARES CAT 6</t>
  </si>
  <si>
    <t>07138/ORSE</t>
  </si>
  <si>
    <t>PISO</t>
  </si>
  <si>
    <t>9.0</t>
  </si>
  <si>
    <t>9.1</t>
  </si>
  <si>
    <t>88489/SINAPI</t>
  </si>
  <si>
    <t>APLICAÇÃO MANUAL DE PINTURA COM TINTA LÁTEX ACRÍLICA EM PAREDES, DUAS DEMÃOS. AF_06/2014</t>
  </si>
  <si>
    <t>88497/SINAPI</t>
  </si>
  <si>
    <t>88485/SINAPI</t>
  </si>
  <si>
    <t>6.2 - Ponto de dreno para arcondocionado split até 48000 btu</t>
  </si>
  <si>
    <t>4.1 - Forro de pvc, em réguas de 10 ou 20 cm, aplicado, incluisve estrutura para fixação (perfis Forro de pvc, em réguas de 10 ou 20 cm, aplicado, inclusive estrutura de fixação (perfis PVC Plastilon) ref:Araforros ou similar - instalação modelo sanduíche forro + estrutura + forro - conforme projeto.</t>
  </si>
  <si>
    <t>BDI (25,22%)</t>
  </si>
  <si>
    <t>90 Dias</t>
  </si>
  <si>
    <t>PINTURA ESMALTE ACETINADO EM MADEIRA, DUAS DEMAOS</t>
  </si>
  <si>
    <t>73739/001 / SINAPI</t>
  </si>
  <si>
    <t>1.1 - Demolição de alvenaria de elementos vazados (combogó), sem reaproveitamento</t>
  </si>
  <si>
    <t>Martelo rompedor</t>
  </si>
  <si>
    <t>1.2 - RASGO EM CONTRAPISO PARA RAMAIS/ DISTRIBUIÇÃO COM DIÂMETROS MAIORES QUE 40 MM E MENORES OU IGUAIS A 75 MM. AF_05/2015</t>
  </si>
  <si>
    <t>Serra maquita</t>
  </si>
  <si>
    <t>2.1 - ALVENARIA DE VEDAÇÃO DE BLOCOS CERÂMICOS FURADOS NA HORIZONTAL DE 9X19X19CM (ESPESSURA 9CM) DE PAREDES COM ÁREA LÍQUIDA MAIOR OU IGUAL A 6M²
SEM VÃOS E ARGAMASSA DE ASSENTAMENTO COM PREPARO EM BETONEIRA. AF_06/2014</t>
  </si>
  <si>
    <t>2.2 - Parede de gesso acartonado, Dry-Wall d 100/75/60 2 st 12,5mm sistemas lafarge gypsum (ou similar) - com Isolamento acústico c/ painel em lã de vidro e = 50mm (isover-santa marina ref psi - 30/50mm ou similar),preenchimento com lã mineral de 50 mm de espessura.</t>
  </si>
  <si>
    <t>4.2 - REMOCAO DE FORRO DE MADEIRA (LAMBRI) C/ REAPROVEITAMENTO</t>
  </si>
  <si>
    <t>5.1 - CHAPISCO APLICADO EM ALVENARIAS E ESTRUTURAS DE CONCRETO INTERNAS, COM COLHER DE PEDREIRO. ARGAMASSA TRAÇO 1:3 COM PREPARO MANUAL. AF_06/20
14</t>
  </si>
  <si>
    <t>5.2 - MASSA ÚNICA, PARA RECEBIMENTO DE PINTURA, EM ARGAMASSA TRAÇO 1:2:8, PREPARO MANUAL, APLICADA MANUALMENTE EM FACES INTERNAS DE PAREDES DE AMB
IENTES COM ÁREA MAIOR QUE 10M2, ESPESSURA DE 20MM, COM EXECUÇÃO DE TAL
ISCAS. AF_06/2014</t>
  </si>
  <si>
    <t>6.1 - Tubulação em cobre Ø 28mm para interligação de Split System ao condesador / evaporador, inclusive isolamento térmico, alimentação elétrica, conexões e fixações para aparelhos até 48.000 btu</t>
  </si>
  <si>
    <t>6.2 - PONTO DRENO PARA ARCONDICIONADO SPLIT ATÉ 48000BTU</t>
  </si>
  <si>
    <t>7.1 - APLICAÇÃO DE FUNDO SELADOR ACRPILICO EM PAREDES, UMA DEMÃO. AF_06/2014</t>
  </si>
  <si>
    <t>7.2 - APLICAÇÃO E LIXAMENTO DE MASSA LÁTEX EM PAREDES, DUAS DEMÃO. AF_06/2014</t>
  </si>
  <si>
    <t>7.3 - APLICAÇÃO MANUAL DE PINTURA COM TINTA LÁTEX ACRÍLICA EM PAREDES, DUAS DEMÃOS. AF_06/2014</t>
  </si>
  <si>
    <t>7.4 - PINTURA ESMALTE ACETINADO EM MADEIRA, DUAS DEMAOS</t>
  </si>
  <si>
    <t>8.1 - Pavimentação placa concreto simples 40 x 40 x 3 cm, sobre colchão areia e = 3 cm c/ rejuntamento traço t4</t>
  </si>
  <si>
    <t>8.2 - Piso em granilite, marmorite ou granitina espessura 8 mm, incluso juntas de dilatacao plasticas</t>
  </si>
  <si>
    <t>9.1 - Quadro distribuição de embutir em chapa de aço, p/até 16 disjuntores, trifasico, c/barramento, padrão DIN (linha branca) e espaço para disjuntor geral</t>
  </si>
  <si>
    <t>9.2 - Disjuntor monopolar tipo DIN corrente nominal de 10-16A, fornecimento e instalação</t>
  </si>
  <si>
    <t>9.3 - Disjuntor monopolar tipo DIN, corrente nominal de 20A, fornecimento e instalação.</t>
  </si>
  <si>
    <t>9.4 - Disjuntor termomagnetico tripolar padrao DIN 10-50A 240V, fornecimento e instalação</t>
  </si>
  <si>
    <t>9.5 - Interruptor de embutir com 01 seção simples e placa, fornecimento e instalação</t>
  </si>
  <si>
    <t>9.6 - Caixa PVC 4x2" p/ eletroduto, fornecimento e instalação</t>
  </si>
  <si>
    <t>9.7 - Luminária calha sobrepor p/lamp.fluorescente 1x32w, completa, inclusive reator eletrônico e lâmpada, fornecimento e instalação</t>
  </si>
  <si>
    <t>9.8 - Tomada 2p + t, ABNT, de embutir, 10 A, com placa em pvc, fornecimento e instalação</t>
  </si>
  <si>
    <t>9.9 - Eletroduto flexível corrugado, PVC DN 25 mm (3/4"), para circuitos terminais, instalado em parede, fornecimento e instalação.</t>
  </si>
  <si>
    <t>9.10 - Eletroduto rígido roscável, pvc, dn 25 mm (3/4"), para circuitos terminais, instalado em parede, fornecimento e instalação.</t>
  </si>
  <si>
    <t>9.11 - Eletroduto rígido roscável, PVC DN 32 mm (1"), para circuitos terminais, instalado em parede - fornecimento e instalação.</t>
  </si>
  <si>
    <t>9.12 - Abraçadeira em aço inox, tipo "D", 3/4", fornecimento e instalação</t>
  </si>
  <si>
    <t>9.13 - Curva 45/90 graus para eletroduto, PVC, roscável, DN 25 mm (3/4"), para circuitos terminais - fornecimento e instalação.</t>
  </si>
  <si>
    <t>9.14 - Caixa pré moldada (20x20x15)cm em concreto c/tampa</t>
  </si>
  <si>
    <t>9.15 - Cabo de cobre flexível isolado, 2,5 mm², anti-chama 450/750 V, para circuitos terminais, fornecimento e instalação.</t>
  </si>
  <si>
    <t>9.16 - Cabo de cobre flexível isolado, 4 mm², anti-chama 450/750 V, para circuitos terminais, fornecimento e instalação.</t>
  </si>
  <si>
    <t>9.17 - Cabo de cobre flexível isolado, 6 mm², anti-chama 450/750 V, para circuitos terminais - fornecimento e instalação.</t>
  </si>
  <si>
    <t>9.18 - FORNECIMENTO E LANÇAMENTO DE CABO UTP 4 PARES CAT 6</t>
  </si>
  <si>
    <t>9.19 - Ponto para cabeamento estruturado embutido, com eletroduto pvc rígido Ø 3/4" c/cabo UTP 4 pares cat. 6</t>
  </si>
  <si>
    <t>9.20 - Curva horizontal 50 x 50 mm para eletrocalha metálica, com ângulo 90° (ref.: mopa ou similar)</t>
  </si>
  <si>
    <t>9.21 - Fornecimento e instalação de eletrocalha perfurada 100 x 50 x 3000 mm (ref. mopa ou similar) com tampa</t>
  </si>
  <si>
    <t>10.1 - ABRIGO PARA HIDRANTE, 90X60X17CM, COM REGISTRO GLOBO ANGULAR 45º 2.1/2", ADAPTADOR STORZ 2.1/2", 2 MANGUEIRA DE INCÊNDIO 15M, REDUÇÃO 2.1/2X1.
1/2" E ESGUICHO EM LATÃO 1.1/2" - FORNECIMENTO E INSTALAÇÃO</t>
  </si>
  <si>
    <t>10.2 - Tubo de aço galvanizado com costura 1" (25mm), inclusive conexoes - fornecimento e instalacao</t>
  </si>
  <si>
    <t>11.1 - Bancada em granito verde ubatuba, e = 2cm</t>
  </si>
  <si>
    <t>11.2 - Suporte metálico para corrimão ref. CG 028 Alcoa</t>
  </si>
  <si>
    <t>11.3 - Corrimão em madeira para fixação em parede</t>
  </si>
  <si>
    <t>11.4 - LIMPEZA FINAL DA OBRA</t>
  </si>
  <si>
    <t>11.5 - Espalhamento de material em bota fora, com utilizacao de trator de esteiras de 165 hp</t>
  </si>
  <si>
    <t xml:space="preserve">Composição  </t>
  </si>
  <si>
    <t>00066/ORSE</t>
  </si>
  <si>
    <t>00068/ORSE</t>
  </si>
  <si>
    <t>Pedreiro</t>
  </si>
  <si>
    <t>Servente</t>
  </si>
  <si>
    <t>Alvenaria de vedação</t>
  </si>
  <si>
    <t>Composição</t>
  </si>
  <si>
    <t>Placa de gesso acartonado</t>
  </si>
  <si>
    <t>Perfil metálico</t>
  </si>
  <si>
    <t>Massa de gesso</t>
  </si>
  <si>
    <t>Parafusos</t>
  </si>
  <si>
    <t>Tela em nylon</t>
  </si>
  <si>
    <t>Gesseiro</t>
  </si>
  <si>
    <t>Cal</t>
  </si>
  <si>
    <t>Tubo de Cobre</t>
  </si>
  <si>
    <t>Solda</t>
  </si>
  <si>
    <t>Isolante térmico</t>
  </si>
  <si>
    <t>Soldador</t>
  </si>
  <si>
    <t>Fundo selador</t>
  </si>
  <si>
    <t>Massa corrida</t>
  </si>
  <si>
    <t>Lixa</t>
  </si>
  <si>
    <t>Pintor</t>
  </si>
  <si>
    <t>Tinta acrílica</t>
  </si>
  <si>
    <t>Rolo de pintura</t>
  </si>
  <si>
    <t xml:space="preserve">Composição </t>
  </si>
  <si>
    <t>Tinta Esmalte</t>
  </si>
  <si>
    <t>Solvente</t>
  </si>
  <si>
    <t>Pincel</t>
  </si>
  <si>
    <t>Pedra 1</t>
  </si>
  <si>
    <t>Granilite</t>
  </si>
  <si>
    <t>Quadro de distribuição</t>
  </si>
  <si>
    <t>Eletricista</t>
  </si>
  <si>
    <t xml:space="preserve">Disjuntor </t>
  </si>
  <si>
    <t>Interruptor</t>
  </si>
  <si>
    <t>Caixa de PVC</t>
  </si>
  <si>
    <t>Luminária</t>
  </si>
  <si>
    <t>Tomada</t>
  </si>
  <si>
    <t>Eletroduto flexível de 25mm</t>
  </si>
  <si>
    <t>Eletroduto rígido de 25mm</t>
  </si>
  <si>
    <t>Eletroduto rígido de 32mm</t>
  </si>
  <si>
    <t>Abraçadeiras</t>
  </si>
  <si>
    <t>Curva 45/90</t>
  </si>
  <si>
    <t>Caixa pré moldada</t>
  </si>
  <si>
    <t>Cabo Flex 2,5mm</t>
  </si>
  <si>
    <t xml:space="preserve">m </t>
  </si>
  <si>
    <t>Cabo Flex 4mm</t>
  </si>
  <si>
    <t>Cabo Flex 6mm</t>
  </si>
  <si>
    <t>Cabo UTP</t>
  </si>
  <si>
    <t>Ponto para cabeamento estruturado</t>
  </si>
  <si>
    <t>Curva horizontal</t>
  </si>
  <si>
    <t>Eletrocalha 100x50x300</t>
  </si>
  <si>
    <t>Abrigo para hidrante</t>
  </si>
  <si>
    <t>Tubo de aço galvanizado</t>
  </si>
  <si>
    <t>Bancada em Granito</t>
  </si>
  <si>
    <t>Suporte metálico</t>
  </si>
  <si>
    <t>Corrimão</t>
  </si>
  <si>
    <t xml:space="preserve">m  </t>
  </si>
  <si>
    <t>Limpeza</t>
  </si>
  <si>
    <t>Espalhamento de material</t>
  </si>
  <si>
    <t>97622/SINAPI</t>
  </si>
  <si>
    <t>DEMOLIÇÃO DE ALVENARIA DE BLOCO FURADO, DE FORMA MANUAL, SEM REAPROVEITAMENTO. AF_12/2017</t>
  </si>
  <si>
    <t>LARGURA</t>
  </si>
  <si>
    <t>ALTURA</t>
  </si>
  <si>
    <t xml:space="preserve">ESPESSURA </t>
  </si>
  <si>
    <t>VOLUME</t>
  </si>
  <si>
    <t>QUANTIDADE TOTAL</t>
  </si>
  <si>
    <t>comp.</t>
  </si>
  <si>
    <t>altura</t>
  </si>
  <si>
    <t>CÓDIGO</t>
  </si>
  <si>
    <t>DESCRIÇÃO DO SERVIÇO</t>
  </si>
  <si>
    <t>IFPB 01</t>
  </si>
  <si>
    <t>UNIDADE</t>
  </si>
  <si>
    <t>SERVIÇO</t>
  </si>
  <si>
    <t>COMPOSIÇÃO DE PERÇO</t>
  </si>
  <si>
    <t>6111/SINAPI</t>
  </si>
  <si>
    <t>DESCRIÇÃO DA COMPOSIÇÃO</t>
  </si>
  <si>
    <t>SERVENTE COM ENCARGOS COMPLEMENTARES</t>
  </si>
  <si>
    <t>CUSTO TOTAL</t>
  </si>
  <si>
    <t>QUANT.</t>
  </si>
  <si>
    <t>CUST. UNIT.</t>
  </si>
  <si>
    <t>TOTAIS</t>
  </si>
  <si>
    <t>EQUIPAMENTO</t>
  </si>
  <si>
    <t>MATERIAL</t>
  </si>
  <si>
    <t>MÃO-DE-OBRA</t>
  </si>
  <si>
    <t>ENC. SOCIAL</t>
  </si>
  <si>
    <t>TERÇEIROS</t>
  </si>
  <si>
    <t>VALOR TOTAL</t>
  </si>
  <si>
    <t>ÁREA</t>
  </si>
  <si>
    <t>APLICAÇÃO DE FUNDO SELADOR ACRÍLICO EM PAREDES, UMA DEMÃO. AF_06/2014</t>
  </si>
  <si>
    <t>APLICAÇÃO E LIXAMENTO DE MASSA LÁTEX EM PAREDES, DUAS DEMÃOS. AF_06/2014</t>
  </si>
  <si>
    <t>04440/ORSE</t>
  </si>
  <si>
    <t>Revestimento cerâmico para parede, 10 x 10 cm, Elizabeth, linha lux neve, aplicado com argamassa industrializada ac-ii, rejuntado, exclusive regularização de base ou emboço</t>
  </si>
  <si>
    <t>5.3</t>
  </si>
  <si>
    <t>5.4</t>
  </si>
  <si>
    <t>12105/ORSE</t>
  </si>
  <si>
    <t>Grade de ferro c/ gradil em barra chata 3/4" x 1/8", inclusive ferrolho e dobradiças conforme desenho</t>
  </si>
  <si>
    <t>03541/ORSE</t>
  </si>
  <si>
    <t>Porta em madeira de lei, almofadada, 0.90 x 2.10 m, inclusive batentes e ferragens</t>
  </si>
  <si>
    <t>vãos (descontar)</t>
  </si>
  <si>
    <t>Revestimento em Casquilho Cerâmico (conforme proj. de arquitetura), inclusive rejunte flexível</t>
  </si>
  <si>
    <t>Revestimento em casquilho cerâmico (conforme projeto arquitetônico), inclusive rejunte flexível</t>
  </si>
  <si>
    <t>M²</t>
  </si>
  <si>
    <t>Ref</t>
  </si>
  <si>
    <t>Descrição</t>
  </si>
  <si>
    <t>Unid</t>
  </si>
  <si>
    <t>Quant</t>
  </si>
  <si>
    <t>Custo Unit.</t>
  </si>
  <si>
    <t>Custo Total</t>
  </si>
  <si>
    <t>COTAÇÃO</t>
  </si>
  <si>
    <t xml:space="preserve">Casquillho cerâmico (lâminas de 6cm x 20cm) </t>
  </si>
  <si>
    <t>M2</t>
  </si>
  <si>
    <t>37596 /SINAPI</t>
  </si>
  <si>
    <t xml:space="preserve">Argamassa colante tipo ACIII </t>
  </si>
  <si>
    <t>KG</t>
  </si>
  <si>
    <t>02540/ORSE</t>
  </si>
  <si>
    <t xml:space="preserve">Rejunte colorido flexivel para revestimentos cerâmicos </t>
  </si>
  <si>
    <t>88309/SINAPI</t>
  </si>
  <si>
    <t>Pedreiro com encargos complementares</t>
  </si>
  <si>
    <t>H</t>
  </si>
  <si>
    <t>88316/SINAPI</t>
  </si>
  <si>
    <t>Servente com encargos complementares</t>
  </si>
  <si>
    <t>IFPB 02</t>
  </si>
  <si>
    <t>84191/SINAPI</t>
  </si>
  <si>
    <t>PISO EM GRANILITE, MARMORITE OU GRANITINA ESPESSURA 8 MM, INCLUSO JUNTAS DE DILATACAO PLASTICAS</t>
  </si>
  <si>
    <t>2.3</t>
  </si>
  <si>
    <t>VERGA PRÉ-MOLDADA PARA PORTAS COM ATÉ 1,5 M DE VÃO. AF_03/2016</t>
  </si>
  <si>
    <t>PAREDE COM PLACAS DE GESSO ACARTONADO (DRYWALL), PARA USO INTERNO, COM UMA FACE SIMPLES E ESTRUTURA METÁLICA COM GUIAS SIMPLES, SEM VÃOS. AF_06/2017_P</t>
  </si>
  <si>
    <t>2.4</t>
  </si>
  <si>
    <t>96370/SINAPI</t>
  </si>
  <si>
    <t>93184/SINAPI</t>
  </si>
  <si>
    <t>07695/ORSE</t>
  </si>
  <si>
    <t>Pintura de Gradil Metálico, confeccionado com barras chata 1 1/4" x 3/16", em módulos 16x16cm, ou tijolinho 20x10cm, com 01 demão de tinta anti-corrosiva - zarcão e 02 demãos de esmalte sintético (medir somente uma vez)</t>
  </si>
  <si>
    <t>RETIRADA, CORTE E RECOLOCAÇÃO DE GRADES METÁLICAS</t>
  </si>
  <si>
    <t>RETIRADA, CORTE E RECOLOCAÇÃO DE ESQUADRIAS METÁLICAS</t>
  </si>
  <si>
    <t>01860/ORSE</t>
  </si>
  <si>
    <t>Remoção e reassentamento de esquadria de ferro</t>
  </si>
  <si>
    <t>RETIRADA, CORTE E RECOLOCAÇÃO DE GRADIL METÁLICO</t>
  </si>
  <si>
    <t>4750/SINAPI</t>
  </si>
  <si>
    <t>PEDREIRO</t>
  </si>
  <si>
    <t>COMPOSIÇÃO DE PREÇO</t>
  </si>
  <si>
    <t>AREIA MEDIA - POSTO JAZIDA/FORNECEDOR (RETIRADO NA JAZIDA, SEM TRANSPORTE)</t>
  </si>
  <si>
    <t>1379SINAPI</t>
  </si>
  <si>
    <t>OBRA: REFORMA - SALA - ESCOLA ARUANDA - IFPB.</t>
  </si>
  <si>
    <t>83447/SINAPI</t>
  </si>
  <si>
    <t>93653/SINAPI</t>
  </si>
  <si>
    <t>93671/SINAPI</t>
  </si>
  <si>
    <t>IFPB.07E</t>
  </si>
  <si>
    <t>IFPB.08E</t>
  </si>
  <si>
    <t>IFPB.05E</t>
  </si>
  <si>
    <t>IFPB.01E</t>
  </si>
  <si>
    <t>IFPB.02E</t>
  </si>
  <si>
    <t>IFPB.04E</t>
  </si>
  <si>
    <t>IFPB.09E</t>
  </si>
  <si>
    <t>8739/ORSE</t>
  </si>
  <si>
    <t>02510/SINAPI</t>
  </si>
  <si>
    <t>8006/ORSE</t>
  </si>
  <si>
    <t>8007/ORSE</t>
  </si>
  <si>
    <t>8008/ORSE</t>
  </si>
  <si>
    <t>CABO DE COBRE FLEXÍVEL ISOLADO, 6 MM², ANTI-CHAMA 450/750 V, PARA CIRCUITOS TERMINAIS - FORNECIMENTO E INSTALAÇÃO. AF_12/2015</t>
  </si>
  <si>
    <t>CABO DE COBRE FLEXÍVEL ISOLADO, 2,5MM², ANTI-CHAMA 450/750 V, PARA CIRCUITOS TERMINAIS - FORNECIMENTO E INSTALAÇÃO. AF_12/2015</t>
  </si>
  <si>
    <t>CAIXA DE PASSAGEM 40X40X50 FUNDO BRITA COM TAMPA</t>
  </si>
  <si>
    <t>DISJUNTOR MONOPOLAR TIPO DIN, CORRENTE NOMINAL DE 10A - FORNECIMENTO E INSTALAÇÃO. AF_04/2016</t>
  </si>
  <si>
    <t>DISJUNTOR MONOPOLAR TIPO DIN, CORRENTE NOMINAL DE 16A - FORNECIMENTO E INSTALAÇÃO. AF_04/2016</t>
  </si>
  <si>
    <t>DISJUNTOR TRIPOLAR TIPO DIN, CORRENTE NOMINAL DE 32A - FORNECIMENTO E INSTALAÇÃO. AF_04/2016</t>
  </si>
  <si>
    <t>ELETRODUTO RÍGIDO ROSCÁVEL, PVC, DN 25 MM (3/4"), INSTALADO DO MODO SOBREPOR, INCLUSO CURVAS, LUVAS E FIXAÇÃO - FORNECIMENTO E INSTALAÇÃO</t>
  </si>
  <si>
    <t>ELETRODUTO RÍGIDO ROSCÁVEL, PVC, DN 32 MM (1"), INSTALADO DO MODO SOBREPOR, INCLUSO CURVAS, LUVAS E FIXAÇÃO - FORNECIMENTO E INSTALAÇÃO</t>
  </si>
  <si>
    <t>ELETRODUTO RÍGIDO ROSCÁVEL, PVC, DN 50 MM (1" 1/2), INSTALADO DO MODO SOBREPOR, INCLUSO CURVAS, LUVAS E FIXAÇÃO - FORNECIMENTO E INSTALAÇÃO</t>
  </si>
  <si>
    <t>LÂMPADA FLUORESCENTE ESPIRAL BRANCA 65 W, BASE E27 - FORNECIMENTO E INSTALAÇÃO</t>
  </si>
  <si>
    <t>LUMINARIA TIPO CALHA DE SOBREPOR COM ALETAS, REFLETOR PARABÓLICO DE ALTO BRILHO, PARA DUAS LÂMPADAS LED TUBULAR (2 X 18/20W), &gt;= 1.850 LM, FP&gt;= 0,92, INCLUSIVE LÂMPADAS LED, FORNECIMENTO E INSTALAÇÃO</t>
  </si>
  <si>
    <t>PONTO DE ILUMINAÇÃO DE SOBREPOR, INCLUSO CAIXA, CABO E ELETRODUTO COM ACESSÓRIOS E FIXAÇÃO.</t>
  </si>
  <si>
    <t>PONTO DE INTERRUPTOR SIMPLES 1 SECÇÃO DE SOBREPOR, INCLUSO CABO, CONDULETE, INTERRUPTOR E ELETRODUTO COM ACESSÓRIOS E FIXAÇÃO.</t>
  </si>
  <si>
    <t>PONTO DE TOMADA 2P+T 10A (2 MÓDULOS) DE SOBREPOR, INCLUINDO TOMADA 10A/250V, CONDULETE PVC, CABO E ELETRODUTO COM ACESSÓRIOS E FIXAÇÃO.</t>
  </si>
  <si>
    <t>QUADRO DE DISTRIBUICAO COM BARRAMENTO TRIFÁSICO, NEUTRO E TERRA, DE SOBREPOR, EM CHAPA DE AÇO GALVANIZADO, PARA 18 DISJUNTORES DIN, 100 A, FORNECIMENTO E INSTALAÇÃO</t>
  </si>
  <si>
    <t>REFLETOR PARA LÂMPADA DE 150 A 500W</t>
  </si>
  <si>
    <t>RELE FOTOELETRICO INTERNO E EXTERNO BIVOLT 1000 W, DE CONECTOR, SEM BASE</t>
  </si>
  <si>
    <t>TERMINAL DE COMPRESSÃO PARA CABO DE 2,50 MM2 - FORNECIMENTO E INSTALAÇÃO</t>
  </si>
  <si>
    <t>TERMINAL DE COMPRESSÃO PARA CABO DE 4 MM2 - FORNECIMENTO E INSTALAÇÃO</t>
  </si>
  <si>
    <t>TERMINAL DE COMPRESSÃO PARA CABO DE 6 MM2 - FORNECIMENTO E INSTALAÇÃO</t>
  </si>
  <si>
    <t>und</t>
  </si>
  <si>
    <t>03811/ORSE</t>
  </si>
  <si>
    <t>11242/ORSE</t>
  </si>
  <si>
    <t>CANALETA PLÁSTICA 25MM X 25MM, SCHNEIDER OU SIMILAR</t>
  </si>
  <si>
    <t>FORNECIMENTO E INSTALAÇÃO DE CONECTOR RJ 45 MACHO CAT 6</t>
  </si>
  <si>
    <t>6.3</t>
  </si>
  <si>
    <t>6.4</t>
  </si>
  <si>
    <t>6.5</t>
  </si>
  <si>
    <t>07289/ORSE</t>
  </si>
  <si>
    <t>FORNECIMENTO E INSTALAÇÃO DE TUBULAÇÃO EM COBRE P/ INTERLIGAÇÃO DO CONDENSADOR AO EVAPORADOR, INCLUSIVE ISOLAMENTO, ALIMENTAÇÃO ELÉTRICA, CONEXÕES E FIXAÇÕES, P/ CONDICIONADORES DE AR SPLIT SYSTEM ATÉ 48.000 BTU.</t>
  </si>
  <si>
    <t>CABO DE COBRE FLEXÍVEL ISOLADO, 4 MM², ANTI-CHAMA 450/750 V, PARA CIRCUITOS TERMINAIS - FORNECIMENTO E INSTALAÇÃO. AF_12/2015</t>
  </si>
  <si>
    <t>DISJUNTOR MONOPOLAR TIPO DIN, CORRENTE NOMINAL DE 20A - FORNECIMENTO E INSTALAÇÃO. AF_04/2016</t>
  </si>
  <si>
    <t>4.1</t>
  </si>
  <si>
    <t>4.2</t>
  </si>
  <si>
    <t>4.3</t>
  </si>
  <si>
    <t>4.4</t>
  </si>
  <si>
    <t>5.5</t>
  </si>
  <si>
    <t>8.2</t>
  </si>
  <si>
    <t>8.3</t>
  </si>
  <si>
    <t>8.4</t>
  </si>
  <si>
    <t>8.5</t>
  </si>
  <si>
    <t>8.6</t>
  </si>
  <si>
    <t>8.7</t>
  </si>
  <si>
    <t>8.8</t>
  </si>
  <si>
    <t>1.2</t>
  </si>
  <si>
    <t>87511/SINAPI</t>
  </si>
  <si>
    <t>ALVENARIA DE VEDAÇÃO DE BLOCOS CERÂMICOS FURADOS NA HORIZONTAL DE 9X19X19CM (ESPESSURA 9CM) DE PAREDES COM ÁREA LÍQUIDA MENOR QUE 6M² COM VÃOS E ARGAMASSA DE ASSENTAMENTO COM PREPARO EM BETONEIRA. AF_06/2014</t>
  </si>
  <si>
    <t>EDIMAEL FREITAS TOMAZ DE OLIVEIRA</t>
  </si>
  <si>
    <t>TECNÓLOGO EM COSNTRUÇÃO DE EDIFÍCIOS</t>
  </si>
  <si>
    <t>CREA PB 161210979-9</t>
  </si>
  <si>
    <t>IFPB - MATRÍCULA 2216000</t>
  </si>
  <si>
    <t>________________________________________________________________________________</t>
  </si>
  <si>
    <t xml:space="preserve">ESQUADRIAS </t>
  </si>
  <si>
    <t>00016/ORSE</t>
  </si>
  <si>
    <t>Demolição manual de piso em concreto simples e/ou cimentado</t>
  </si>
  <si>
    <t>COMP.</t>
  </si>
  <si>
    <t>LARG.</t>
  </si>
  <si>
    <t>MOVIMENTO DE TERRA</t>
  </si>
  <si>
    <t>02497/ORSE</t>
  </si>
  <si>
    <t>Escavação manual de vala ou cava em material de 1ª categoria, profundidade até 1,50m</t>
  </si>
  <si>
    <t xml:space="preserve">COMP. </t>
  </si>
  <si>
    <t>QUANTIDADE NECESSÁRIA</t>
  </si>
  <si>
    <t>94319/SINAPI</t>
  </si>
  <si>
    <t>ATERRO MANUAL DE VALAS COM SOLO ARGILO-ARENOSO E COMPACTAÇÃO MECANIZADA. AF_05/2016</t>
  </si>
  <si>
    <t>TRANSPORTE COM CAMINHÃO BASCULANTE DE 10 M3, EM VIA URBANA EM LEITO NATURAL (UNIDADE: M3XKM). AF_04/2016</t>
  </si>
  <si>
    <t>93588/sinapi</t>
  </si>
  <si>
    <t>FUNDAÇÃO</t>
  </si>
  <si>
    <t>95467/SINAPI</t>
  </si>
  <si>
    <t>EMBASAMENTO C/PEDRA ARGAMASSADA UTILIZANDO ARG.CIM/AREIA 1:4</t>
  </si>
  <si>
    <t>93204/SINAPI</t>
  </si>
  <si>
    <t>CINTA DE AMARRAÇÃO DE ALVENARIA MOLDADA IN LOCO EM CONCRETO. AF_03/2016</t>
  </si>
  <si>
    <t>COMP. TOTAL</t>
  </si>
  <si>
    <t>Alvenaria em tijolo cerâmico 1 vez, assentado em argamassa traço 1:2:8 (cimento, cal e areia)</t>
  </si>
  <si>
    <t>7266/SINAPI</t>
  </si>
  <si>
    <t>Bloco cerâmico (alvenaria de vedação), de 9 X 19 X 19 cm</t>
  </si>
  <si>
    <t>MIL</t>
  </si>
  <si>
    <t>87292/SINAPI</t>
  </si>
  <si>
    <t>Argamassa traço 1:2:8 (cimento, cal e areia média) para emboço/massa única/assentamento de alvenaria de vedação, preparo mecânico com betoneira 400L</t>
  </si>
  <si>
    <t>04750/SINAPI</t>
  </si>
  <si>
    <t>total</t>
  </si>
  <si>
    <t>m³xKm</t>
  </si>
  <si>
    <t>ALVENARIA</t>
  </si>
  <si>
    <t>87503/SINAPI</t>
  </si>
  <si>
    <t>ALVENARIA DE VEDAÇÃO DE BLOCOS CERÂMICOS FURADOS NA HORIZONTAL DE 9X19X19CM (ESPESSURA 9CM) DE PAREDES COM ÁREA LÍQUIDA MAIOR OU IGUAL A 6M² SEM VÃOS E ARGAMASSA DE ASSENTAMENTO COM PREPARO EM BETONEIRA. AF_06/2014</t>
  </si>
  <si>
    <t>ESTRUTURA</t>
  </si>
  <si>
    <t>P1</t>
  </si>
  <si>
    <t>P2</t>
  </si>
  <si>
    <t>P3</t>
  </si>
  <si>
    <t>P4</t>
  </si>
  <si>
    <t>P5</t>
  </si>
  <si>
    <t>P6</t>
  </si>
  <si>
    <t>VIGA 01</t>
  </si>
  <si>
    <t>VIGA 02</t>
  </si>
  <si>
    <t>VIGA 03</t>
  </si>
  <si>
    <t>VIGA 04</t>
  </si>
  <si>
    <t>PESO</t>
  </si>
  <si>
    <t>MASSA</t>
  </si>
  <si>
    <t xml:space="preserve">SAPATAS </t>
  </si>
  <si>
    <t>SAPATAS</t>
  </si>
  <si>
    <t>94964/SINAPI</t>
  </si>
  <si>
    <t>CONCRETO FCK = 20MPA, TRAÇO 1:2,7:3 (CIMENTO/ AREIA MÉDIA/ BRITA 1) - PREPARO MECÂNICO COM BETONEIRA 400 L. AF_07/2016</t>
  </si>
  <si>
    <t>11652/ORSE</t>
  </si>
  <si>
    <t>Forma plana para estruturas, em compensado plastificado de 10mm, 07 usos, inclusive escoramento - Revisada 07.2015</t>
  </si>
  <si>
    <t>00140/ORSE</t>
  </si>
  <si>
    <t>Aço CA - 50 Ø 6,3 a 12,5mm, inclusive corte, dobragem, montagem e colocacao de ferragens nas formas, para superestruturas e fundações</t>
  </si>
  <si>
    <t>LAJE</t>
  </si>
  <si>
    <t>04254/ORSE</t>
  </si>
  <si>
    <t>Laje pré-fabricada treliçada para piso ou cobertura, intereixo 38cm, h=12cm, el. enchimento em bloco cerâmico h=8cm, inclusive escoramento em madeira e capeamento 4cm.</t>
  </si>
  <si>
    <t>93183/SINAPI</t>
  </si>
  <si>
    <t>VERGA PRÉ-MOLDADA PARA JANELAS COM MAIS DE 1,5 M DE VÃO. AF_03/2016</t>
  </si>
  <si>
    <t>93184SINAPI</t>
  </si>
  <si>
    <t>93200/SINAPI</t>
  </si>
  <si>
    <t>FIXAÇÃO (ENCUNHAMENTO) DE ALVENARIA DE VEDAÇÃO COM ARGAMASSA APLICADA COM BISNAGA. AF_03/2016</t>
  </si>
  <si>
    <t>5.7</t>
  </si>
  <si>
    <t>PAREDE 01</t>
  </si>
  <si>
    <t>PAREDE 02</t>
  </si>
  <si>
    <t>PAREDE 03</t>
  </si>
  <si>
    <t>PAREDE 04</t>
  </si>
  <si>
    <t>87879/SINAPI</t>
  </si>
  <si>
    <t>CHAPISCO APLICADO EM ALVENARIAS E ESTRUTURAS DE CONCRETO INTERNAS, COM COLHER DE PEDREIRO. ARGAMASSA TRAÇO 1:3 COM PREPARO EM BETONEIRA 400L. AF_06/2014</t>
  </si>
  <si>
    <t>87529/SINAPI</t>
  </si>
  <si>
    <t>MASSA ÚNICA, PARA RECEBIMENTO DE PINTURA, EM ARGAMASSA TRAÇO 1:2:8, PREPARO MECÂNICO COM BETONEIRA 400L, APLICADA MANUALMENTE EM FACES INTERNAS DE PAREDES, ESPESSURA DE 20MM, COM EXECUÇÃO DE TALISCAS. AF_06/2014</t>
  </si>
  <si>
    <t>87792/SINAPI</t>
  </si>
  <si>
    <t>EMBOÇO OU MASSA ÚNICA EM ARGAMASSA TRAÇO 1:2:8, PREPARO MECÂNICO COM BETONEIRA 400 L, APLICADA MANUALMENTE EM PANOS CEGOS DE FACHADA (SEM PRESENÇA DE VÃOS), ESPESSURA DE 25 MM. AF_06/2014</t>
  </si>
  <si>
    <t>88484/SINAPI</t>
  </si>
  <si>
    <t>APLICAÇÃO DE FUNDO SELADOR ACRÍLICO EM TETO, UMA DEMÃO. AF_06/2014</t>
  </si>
  <si>
    <t>LAJE EXTERNA</t>
  </si>
  <si>
    <t>88496/SINAPI</t>
  </si>
  <si>
    <t>APLICAÇÃO E LIXAMENTO DE MASSA LÁTEX EM TETO, DUAS DEMÃOS. AF_06/2014</t>
  </si>
  <si>
    <t>88488/SINAPI</t>
  </si>
  <si>
    <t>APLICAÇÃO MANUAL DE PINTURA COM TINTA LÁTEX ACRÍLICA EM TETO, DUAS DEMÃOS. AF_06/2014</t>
  </si>
  <si>
    <t>PORTA</t>
  </si>
  <si>
    <t>JANELA 01</t>
  </si>
  <si>
    <t>JANELA 02</t>
  </si>
  <si>
    <t>7.2</t>
  </si>
  <si>
    <t>7.3</t>
  </si>
  <si>
    <t>FACHADA 01</t>
  </si>
  <si>
    <t>FACHADA 02</t>
  </si>
  <si>
    <t>FACHADA 03</t>
  </si>
  <si>
    <t>PLATIBANDA</t>
  </si>
  <si>
    <t>ÁREA DO TRIANGULO</t>
  </si>
  <si>
    <t>5.6</t>
  </si>
  <si>
    <t>96619/SINAPI</t>
  </si>
  <si>
    <t>LASTRO DE CONCRETO MAGRO, APLICADO EM BLOCOS DE COROAMENTO OU SAPATAS, ESPESSURA DE 5 CM. AF_08/2017</t>
  </si>
  <si>
    <t>3.4</t>
  </si>
  <si>
    <t>SALA</t>
  </si>
  <si>
    <t>CALÇADA 01</t>
  </si>
  <si>
    <t>CALÇADA 02</t>
  </si>
  <si>
    <t>CALÇADA 03</t>
  </si>
  <si>
    <t>02180/ORSE</t>
  </si>
  <si>
    <t>Regularização de base para revest. de pisos com arg. traço t4, esp. média = 2,5cm</t>
  </si>
  <si>
    <t>SOLEIRA</t>
  </si>
  <si>
    <t>JANELAS</t>
  </si>
  <si>
    <t>COBERTURA</t>
  </si>
  <si>
    <t>9.2</t>
  </si>
  <si>
    <t>92539/SINAPI</t>
  </si>
  <si>
    <t>TRAMA DE MADEIRA COMPOSTA POR RIPAS, CAIBROS E TERÇAS PARA TELHADOS DE ATÉ 2 ÁGUAS PARA TELHA DE ENCAIXE DE CERÂMICA OU DE CONCRETO, INCLUSO TRANSPORTE VERTICAL. AF_12/2015</t>
  </si>
  <si>
    <t>94447/SINAPI</t>
  </si>
  <si>
    <t>TELHAMENTO COM TELHA CERÂMICA CAPA-CANAL, TIPO PAULISTA, COM ATÉ 2 ÁGUAS, INCLUSO TRANSPORTE VERTICAL. AF_06/2016</t>
  </si>
  <si>
    <t>ESQUADRIAS</t>
  </si>
  <si>
    <t>94559/SINAPI</t>
  </si>
  <si>
    <t>JANELA DE AÇO BASCULANTE, FIXAÇÃO COM ARGAMASSA, SEM VIDROS, PADRONIZADA. AF_07/2016</t>
  </si>
  <si>
    <t>72117/SINAPI</t>
  </si>
  <si>
    <t>VIDRO LISO COMUM TRANSPARENTE, ESPESSURA 4MM</t>
  </si>
  <si>
    <t>9.3</t>
  </si>
  <si>
    <t>10.0</t>
  </si>
  <si>
    <t>10.1</t>
  </si>
  <si>
    <t>10.2</t>
  </si>
  <si>
    <t>11.0</t>
  </si>
  <si>
    <t>12.0</t>
  </si>
  <si>
    <t>12.1</t>
  </si>
  <si>
    <t>DISTÂNCIA</t>
  </si>
  <si>
    <t>93588/SINAPI</t>
  </si>
  <si>
    <t>MÊS REFERÊNCIA DA PROPOSTA: MARÇO/2018</t>
  </si>
  <si>
    <t>OBRA: REFORMA - DEPÓSITO - ESCOLA ARUANDA - IFPB.</t>
  </si>
  <si>
    <t>120Dias</t>
  </si>
  <si>
    <t>150 Dias</t>
  </si>
  <si>
    <t>MÊS REFERÊNCIA DA PROPOSTA: MARÇO 2018</t>
  </si>
  <si>
    <t>93041/SINAPI</t>
  </si>
  <si>
    <t>94231/SINAPI</t>
  </si>
  <si>
    <t>RUFO EM CHAPA DE AÇO GALVANIZADO NÚMERO 24, CORTE DE 25 CM, INCLUSO TRANSPORTE VERTICAL. AF_06/2016</t>
  </si>
  <si>
    <t>10.3</t>
  </si>
  <si>
    <t>OBRA: ADEQUAÇÃO DE SALAS DE AULAS DO CAMPUS EM IMPLANTAÇÃO MANGABEIRA - IFPB.</t>
  </si>
  <si>
    <t>VALOR</t>
  </si>
  <si>
    <t>VALOR TOTAL DA OBRA</t>
  </si>
  <si>
    <t>1.3</t>
  </si>
  <si>
    <t>1.4</t>
  </si>
  <si>
    <t>1.5</t>
  </si>
  <si>
    <t>1.6</t>
  </si>
  <si>
    <t>1.7</t>
  </si>
  <si>
    <t>1.8</t>
  </si>
  <si>
    <t>IFPB.03E</t>
  </si>
  <si>
    <t>1.9</t>
  </si>
  <si>
    <t>1.10</t>
  </si>
  <si>
    <t>1.11</t>
  </si>
  <si>
    <t>93672/SINAPI</t>
  </si>
  <si>
    <t>DISJUNTOR TRIPOLAR TIPO DIN, CORRENTE NOMINAL DE 40A - FORNECIMENTO E INSTALAÇÃO. AF_04/2016</t>
  </si>
  <si>
    <t>IFPB.06E</t>
  </si>
  <si>
    <t>CAIXA DE PASSAGEM ESPERA PARA AR CONDICIONADO SPLIT</t>
  </si>
  <si>
    <t>CABEAMENTO ESTRUTURADO</t>
  </si>
  <si>
    <t>07781/ORSE</t>
  </si>
  <si>
    <t>SWITCH 08 PORTAS 10/100 MBPS - FORNECIMENTO</t>
  </si>
  <si>
    <t>INSTALAÇÕES ELÉTRICAS</t>
  </si>
  <si>
    <t>7.4</t>
  </si>
  <si>
    <t>7.5</t>
  </si>
  <si>
    <t>7.6</t>
  </si>
  <si>
    <t>7.7</t>
  </si>
  <si>
    <t>7.8</t>
  </si>
  <si>
    <t>7.9</t>
  </si>
  <si>
    <t>7.10</t>
  </si>
  <si>
    <t>7.11</t>
  </si>
  <si>
    <t>7.12</t>
  </si>
  <si>
    <t>7.13</t>
  </si>
  <si>
    <t>7.14</t>
  </si>
  <si>
    <t>7.15</t>
  </si>
  <si>
    <t>7.16</t>
  </si>
  <si>
    <t>7.17</t>
  </si>
  <si>
    <t>7.18</t>
  </si>
  <si>
    <t>7.19</t>
  </si>
  <si>
    <t>7.20</t>
  </si>
  <si>
    <t>7.21</t>
  </si>
  <si>
    <t>7.22</t>
  </si>
  <si>
    <t>7.23</t>
  </si>
  <si>
    <t>9.4</t>
  </si>
  <si>
    <t>COMPOSIÇÃO</t>
  </si>
  <si>
    <t>MEMÓRIA DE CÁLCULO - SALA DE AULA</t>
  </si>
  <si>
    <t>MEMÓRIA DE CÁLCULO - DEPÓSITO</t>
  </si>
  <si>
    <r>
      <rPr>
        <i/>
        <sz val="10"/>
        <color theme="1"/>
        <rFont val="Times New Roman"/>
        <family val="1"/>
      </rPr>
      <t>ø</t>
    </r>
    <r>
      <rPr>
        <sz val="10"/>
        <color theme="1"/>
        <rFont val="Times New Roman"/>
        <family val="1"/>
      </rPr>
      <t>10.0</t>
    </r>
  </si>
  <si>
    <r>
      <rPr>
        <i/>
        <sz val="10"/>
        <color theme="1"/>
        <rFont val="Times New Roman"/>
        <family val="1"/>
      </rPr>
      <t>ø</t>
    </r>
    <r>
      <rPr>
        <sz val="10"/>
        <color theme="1"/>
        <rFont val="Times New Roman"/>
        <family val="1"/>
      </rPr>
      <t>5.0</t>
    </r>
  </si>
  <si>
    <t>IFPB 03</t>
  </si>
  <si>
    <t xml:space="preserve">INSTALAÇÕES ELÉTRICAS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</si>
</sst>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R$&quot;\ * #,##0.00_-;\-&quot;R$&quot;\ * #,##0.00_-;_-&quot;R$&quot;\ * &quot;-&quot;??_-;_-@_-"/>
    <numFmt numFmtId="43" formatCode="_-* #,##0.00_-;\-* #,##0.00_-;_-* &quot;-&quot;??_-;_-@_-"/>
    <numFmt numFmtId="164" formatCode="_(* #,##0.00_);_(* \(#,##0.00\);_(* &quot;-&quot;??_);_(@_)"/>
    <numFmt numFmtId="165" formatCode="0.0"/>
    <numFmt numFmtId="166" formatCode="_(* #,##0.0000000_);_(* \(#,##0.0000000\);_(* &quot;-&quot;??_);_(@_)"/>
    <numFmt numFmtId="167" formatCode="_(&quot;R$ &quot;* #,##0.00_);_(&quot;R$ &quot;* \(#,##0.00\);_(&quot;R$ &quot;* &quot;-&quot;??_);_(@_)"/>
    <numFmt numFmtId="168" formatCode="&quot;R$&quot;\ #,##0.00"/>
    <numFmt numFmtId="169" formatCode="_(* #,##0.000_);_(* \(#,##0.000\);_(* &quot;-&quot;??_);_(@_)"/>
    <numFmt numFmtId="170" formatCode="_(&quot;R$&quot;\ * #,##0.00_);_(&quot;R$&quot;\ * \(#,##0.00\);_(&quot;R$&quot;\ * &quot;-&quot;??_);_(@_)"/>
  </numFmts>
  <fonts count="29" x14ac:knownFonts="1">
    <font>
      <sz val="11"/>
      <color theme="1"/>
      <name val="Calibri"/>
      <family val="2"/>
      <scheme val="minor"/>
    </font>
    <font>
      <sz val="11"/>
      <color theme="1"/>
      <name val="Calibri"/>
      <family val="2"/>
      <scheme val="minor"/>
    </font>
    <font>
      <sz val="8"/>
      <name val="Arial"/>
      <family val="2"/>
    </font>
    <font>
      <sz val="11"/>
      <name val="Arial"/>
      <family val="2"/>
    </font>
    <font>
      <sz val="10"/>
      <name val="Arial"/>
      <family val="2"/>
    </font>
    <font>
      <b/>
      <sz val="10"/>
      <name val="Arial"/>
      <family val="2"/>
    </font>
    <font>
      <sz val="8"/>
      <color rgb="FF000000"/>
      <name val="Verdana"/>
      <family val="2"/>
    </font>
    <font>
      <sz val="10"/>
      <color rgb="FF000000"/>
      <name val="Verdana"/>
      <family val="2"/>
    </font>
    <font>
      <b/>
      <sz val="11"/>
      <color theme="1"/>
      <name val="Calibri"/>
      <family val="2"/>
      <scheme val="minor"/>
    </font>
    <font>
      <b/>
      <sz val="12"/>
      <color theme="1"/>
      <name val="Calibri"/>
      <family val="2"/>
      <scheme val="minor"/>
    </font>
    <font>
      <b/>
      <sz val="8"/>
      <name val="Comic Sans MS"/>
      <family val="4"/>
    </font>
    <font>
      <sz val="11"/>
      <name val="Calibri"/>
      <family val="2"/>
      <scheme val="minor"/>
    </font>
    <font>
      <b/>
      <sz val="11"/>
      <name val="Calibri"/>
      <family val="2"/>
      <scheme val="minor"/>
    </font>
    <font>
      <b/>
      <sz val="8"/>
      <color indexed="8"/>
      <name val="Comic Sans MS"/>
      <family val="4"/>
    </font>
    <font>
      <sz val="8"/>
      <name val="Comic Sans MS"/>
      <family val="4"/>
    </font>
    <font>
      <b/>
      <sz val="10"/>
      <name val="Comic Sans MS"/>
      <family val="4"/>
    </font>
    <font>
      <b/>
      <sz val="12"/>
      <color indexed="8"/>
      <name val="Comic Sans MS"/>
      <family val="4"/>
    </font>
    <font>
      <sz val="10"/>
      <name val="Times New Roman"/>
      <family val="1"/>
    </font>
    <font>
      <sz val="10"/>
      <color theme="1"/>
      <name val="Times New Roman"/>
      <family val="1"/>
    </font>
    <font>
      <b/>
      <sz val="10"/>
      <name val="Times New Roman"/>
      <family val="1"/>
    </font>
    <font>
      <b/>
      <sz val="10"/>
      <color theme="1"/>
      <name val="Times New Roman"/>
      <family val="1"/>
    </font>
    <font>
      <sz val="10"/>
      <color rgb="FF000000"/>
      <name val="Times New Roman"/>
      <family val="1"/>
    </font>
    <font>
      <b/>
      <sz val="12"/>
      <color indexed="8"/>
      <name val="Times New Roman"/>
      <family val="1"/>
    </font>
    <font>
      <sz val="12"/>
      <name val="Times New Roman"/>
      <family val="1"/>
    </font>
    <font>
      <b/>
      <sz val="12"/>
      <color theme="1"/>
      <name val="Times New Roman"/>
      <family val="1"/>
    </font>
    <font>
      <i/>
      <sz val="10"/>
      <color theme="1"/>
      <name val="Times New Roman"/>
      <family val="1"/>
    </font>
    <font>
      <b/>
      <sz val="10"/>
      <color rgb="FF000000"/>
      <name val="Times New Roman"/>
      <family val="1"/>
    </font>
    <font>
      <sz val="11"/>
      <color theme="1"/>
      <name val="Times New Roman"/>
      <family val="1"/>
    </font>
    <font>
      <b/>
      <sz val="11"/>
      <color theme="1"/>
      <name val="Times New Roman"/>
      <family val="1"/>
    </font>
  </fonts>
  <fills count="7">
    <fill>
      <patternFill patternType="none"/>
    </fill>
    <fill>
      <patternFill patternType="gray125"/>
    </fill>
    <fill>
      <patternFill patternType="solid">
        <fgColor rgb="FF92D050"/>
        <bgColor indexed="64"/>
      </patternFill>
    </fill>
    <fill>
      <patternFill patternType="solid">
        <fgColor theme="0" tint="-0.249977111117893"/>
        <bgColor indexed="64"/>
      </patternFill>
    </fill>
    <fill>
      <patternFill patternType="solid">
        <fgColor rgb="FFFFFFFF"/>
        <bgColor indexed="64"/>
      </patternFill>
    </fill>
    <fill>
      <patternFill patternType="solid">
        <fgColor indexed="9"/>
        <bgColor indexed="41"/>
      </patternFill>
    </fill>
    <fill>
      <patternFill patternType="solid">
        <fgColor theme="0"/>
        <bgColor indexed="64"/>
      </patternFill>
    </fill>
  </fills>
  <borders count="6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right style="medium">
        <color indexed="64"/>
      </right>
      <top/>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s>
  <cellStyleXfs count="72">
    <xf numFmtId="0" fontId="0" fillId="0" borderId="0"/>
    <xf numFmtId="43" fontId="1" fillId="0" borderId="0" applyFont="0" applyFill="0" applyBorder="0" applyAlignment="0" applyProtection="0"/>
    <xf numFmtId="0" fontId="3" fillId="0" borderId="0"/>
    <xf numFmtId="9" fontId="1" fillId="0" borderId="0" applyFont="0" applyFill="0" applyBorder="0" applyAlignment="0" applyProtection="0"/>
    <xf numFmtId="164" fontId="4" fillId="0" borderId="0" applyFont="0" applyFill="0" applyBorder="0" applyAlignment="0" applyProtection="0"/>
    <xf numFmtId="166" fontId="4" fillId="0" borderId="0" applyFont="0" applyFill="0" applyBorder="0" applyAlignment="0" applyProtection="0"/>
    <xf numFmtId="167" fontId="4" fillId="0" borderId="0" applyFont="0" applyFill="0" applyBorder="0" applyAlignment="0" applyProtection="0"/>
    <xf numFmtId="0" fontId="4" fillId="0" borderId="0"/>
    <xf numFmtId="170" fontId="4" fillId="0" borderId="0" applyFont="0" applyFill="0" applyBorder="0" applyAlignment="0" applyProtection="0"/>
    <xf numFmtId="44" fontId="1"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44" fontId="4" fillId="0" borderId="0" applyFont="0" applyFill="0" applyBorder="0" applyAlignment="0" applyProtection="0"/>
    <xf numFmtId="0" fontId="4"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1" fillId="0" borderId="0"/>
    <xf numFmtId="0" fontId="1" fillId="0" borderId="0"/>
    <xf numFmtId="0" fontId="4" fillId="0" borderId="0"/>
    <xf numFmtId="0" fontId="4" fillId="0" borderId="0"/>
    <xf numFmtId="0" fontId="4" fillId="0" borderId="0"/>
    <xf numFmtId="0" fontId="1" fillId="0" borderId="0"/>
    <xf numFmtId="0" fontId="1"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1" fillId="0" borderId="0"/>
    <xf numFmtId="0" fontId="1" fillId="0" borderId="0"/>
    <xf numFmtId="0" fontId="1" fillId="0" borderId="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164" fontId="4" fillId="0" borderId="0" applyFont="0" applyFill="0" applyBorder="0" applyAlignment="0" applyProtection="0"/>
    <xf numFmtId="43" fontId="4" fillId="0" borderId="0" applyFont="0" applyFill="0" applyBorder="0" applyAlignment="0" applyProtection="0"/>
    <xf numFmtId="169" fontId="4" fillId="0" borderId="0" applyFill="0" applyBorder="0" applyAlignment="0" applyProtection="0"/>
    <xf numFmtId="0" fontId="4" fillId="0" borderId="0" applyFont="0" applyFill="0" applyBorder="0" applyAlignment="0" applyProtection="0"/>
    <xf numFmtId="169" fontId="4" fillId="0" borderId="0" applyFill="0" applyBorder="0" applyAlignment="0" applyProtection="0"/>
    <xf numFmtId="169" fontId="4" fillId="0" borderId="0" applyFill="0" applyBorder="0" applyAlignment="0" applyProtection="0"/>
    <xf numFmtId="169" fontId="4" fillId="0" borderId="0" applyFill="0" applyBorder="0" applyAlignment="0" applyProtection="0"/>
    <xf numFmtId="169" fontId="4" fillId="0" borderId="0" applyFill="0" applyBorder="0" applyAlignment="0" applyProtection="0"/>
    <xf numFmtId="43" fontId="4" fillId="0" borderId="0" applyFont="0" applyFill="0" applyBorder="0" applyAlignment="0" applyProtection="0"/>
    <xf numFmtId="16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9" fontId="4" fillId="0" borderId="0" applyFill="0" applyBorder="0" applyAlignment="0" applyProtection="0"/>
    <xf numFmtId="169" fontId="4" fillId="0" borderId="0" applyFill="0" applyBorder="0" applyAlignment="0" applyProtection="0"/>
    <xf numFmtId="169" fontId="4" fillId="0" borderId="0" applyFill="0" applyBorder="0" applyAlignment="0" applyProtection="0"/>
    <xf numFmtId="43"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164" fontId="4" fillId="0" borderId="0" applyFont="0" applyFill="0" applyBorder="0" applyAlignment="0" applyProtection="0"/>
  </cellStyleXfs>
  <cellXfs count="477">
    <xf numFmtId="0" fontId="0" fillId="0" borderId="0" xfId="0"/>
    <xf numFmtId="0" fontId="0" fillId="0" borderId="12" xfId="0" applyBorder="1"/>
    <xf numFmtId="2" fontId="0" fillId="0" borderId="12" xfId="0" applyNumberFormat="1" applyBorder="1"/>
    <xf numFmtId="0" fontId="0" fillId="0" borderId="0" xfId="0" applyFill="1"/>
    <xf numFmtId="0" fontId="6" fillId="0" borderId="12" xfId="0" applyFont="1" applyBorder="1"/>
    <xf numFmtId="0" fontId="6" fillId="0" borderId="12" xfId="0" applyFont="1" applyBorder="1" applyAlignment="1">
      <alignment wrapText="1"/>
    </xf>
    <xf numFmtId="0" fontId="6" fillId="0" borderId="10" xfId="0" applyFont="1" applyBorder="1"/>
    <xf numFmtId="0" fontId="6" fillId="4" borderId="10" xfId="0" applyFont="1" applyFill="1" applyBorder="1" applyAlignment="1">
      <alignment vertical="center" wrapText="1"/>
    </xf>
    <xf numFmtId="0" fontId="0" fillId="0" borderId="29" xfId="0" applyBorder="1"/>
    <xf numFmtId="0" fontId="0" fillId="0" borderId="30" xfId="0" applyBorder="1"/>
    <xf numFmtId="0" fontId="6" fillId="0" borderId="28" xfId="0" applyFont="1" applyBorder="1"/>
    <xf numFmtId="0" fontId="6" fillId="0" borderId="29" xfId="0" applyFont="1" applyBorder="1" applyAlignment="1">
      <alignment wrapText="1"/>
    </xf>
    <xf numFmtId="0" fontId="0" fillId="0" borderId="31" xfId="0" applyBorder="1"/>
    <xf numFmtId="0" fontId="0" fillId="0" borderId="32" xfId="0" applyBorder="1"/>
    <xf numFmtId="0" fontId="0" fillId="0" borderId="33" xfId="0" applyBorder="1"/>
    <xf numFmtId="0" fontId="0" fillId="0" borderId="12" xfId="0" applyBorder="1" applyAlignment="1">
      <alignment horizontal="center"/>
    </xf>
    <xf numFmtId="0" fontId="8" fillId="0" borderId="24" xfId="0" applyFont="1" applyBorder="1"/>
    <xf numFmtId="0" fontId="8" fillId="0" borderId="25" xfId="0" applyFont="1" applyBorder="1"/>
    <xf numFmtId="0" fontId="8" fillId="0" borderId="27" xfId="0" applyFont="1" applyBorder="1"/>
    <xf numFmtId="0" fontId="8" fillId="0" borderId="19" xfId="0" applyFont="1" applyBorder="1"/>
    <xf numFmtId="0" fontId="8" fillId="0" borderId="36" xfId="0" applyFont="1" applyBorder="1"/>
    <xf numFmtId="0" fontId="8" fillId="0" borderId="37" xfId="0" applyFont="1" applyBorder="1"/>
    <xf numFmtId="0" fontId="8" fillId="3" borderId="38" xfId="0" applyFont="1" applyFill="1" applyBorder="1"/>
    <xf numFmtId="0" fontId="8" fillId="3" borderId="39" xfId="0" applyFont="1" applyFill="1" applyBorder="1"/>
    <xf numFmtId="0" fontId="8" fillId="0" borderId="25" xfId="0" applyFont="1" applyBorder="1" applyAlignment="1">
      <alignment horizontal="center"/>
    </xf>
    <xf numFmtId="2" fontId="0" fillId="0" borderId="7" xfId="0" applyNumberFormat="1" applyBorder="1" applyAlignment="1">
      <alignment horizontal="left"/>
    </xf>
    <xf numFmtId="2" fontId="0" fillId="0" borderId="8" xfId="0" applyNumberFormat="1" applyBorder="1" applyAlignment="1">
      <alignment horizontal="left"/>
    </xf>
    <xf numFmtId="2" fontId="0" fillId="0" borderId="9" xfId="0" applyNumberFormat="1" applyBorder="1" applyAlignment="1">
      <alignment horizontal="left"/>
    </xf>
    <xf numFmtId="43" fontId="0" fillId="0" borderId="12" xfId="0" applyNumberFormat="1" applyBorder="1" applyAlignment="1">
      <alignment horizontal="center"/>
    </xf>
    <xf numFmtId="4" fontId="0" fillId="0" borderId="13" xfId="0" applyNumberFormat="1" applyBorder="1"/>
    <xf numFmtId="0" fontId="11" fillId="2" borderId="10" xfId="0" applyFont="1" applyFill="1" applyBorder="1"/>
    <xf numFmtId="0" fontId="12" fillId="2" borderId="12" xfId="0" applyFont="1" applyFill="1" applyBorder="1"/>
    <xf numFmtId="4" fontId="12" fillId="2" borderId="12" xfId="0" applyNumberFormat="1" applyFont="1" applyFill="1" applyBorder="1"/>
    <xf numFmtId="43" fontId="12" fillId="2" borderId="12" xfId="0" applyNumberFormat="1" applyFont="1" applyFill="1" applyBorder="1" applyAlignment="1">
      <alignment horizontal="center"/>
    </xf>
    <xf numFmtId="0" fontId="12" fillId="2" borderId="27" xfId="0" applyFont="1" applyFill="1" applyBorder="1" applyAlignment="1"/>
    <xf numFmtId="2" fontId="12" fillId="2" borderId="19" xfId="0" applyNumberFormat="1" applyFont="1" applyFill="1" applyBorder="1"/>
    <xf numFmtId="4" fontId="12" fillId="2" borderId="19" xfId="0" applyNumberFormat="1" applyFont="1" applyFill="1" applyBorder="1"/>
    <xf numFmtId="0" fontId="12" fillId="2" borderId="19" xfId="0" applyFont="1" applyFill="1" applyBorder="1"/>
    <xf numFmtId="0" fontId="10" fillId="2" borderId="19" xfId="0" applyFont="1" applyFill="1" applyBorder="1" applyAlignment="1">
      <alignment horizontal="center"/>
    </xf>
    <xf numFmtId="0" fontId="10" fillId="2" borderId="18" xfId="0" applyFont="1" applyFill="1" applyBorder="1" applyAlignment="1">
      <alignment horizontal="center"/>
    </xf>
    <xf numFmtId="0" fontId="10" fillId="2" borderId="20" xfId="0" applyFont="1" applyFill="1" applyBorder="1" applyAlignment="1">
      <alignment horizontal="center"/>
    </xf>
    <xf numFmtId="2" fontId="0" fillId="0" borderId="29" xfId="0" applyNumberFormat="1" applyBorder="1" applyAlignment="1">
      <alignment horizontal="right"/>
    </xf>
    <xf numFmtId="43" fontId="14" fillId="5" borderId="29" xfId="1" applyFont="1" applyFill="1" applyBorder="1" applyAlignment="1">
      <alignment horizontal="right"/>
    </xf>
    <xf numFmtId="10" fontId="14" fillId="0" borderId="29" xfId="3" applyNumberFormat="1" applyFont="1" applyFill="1" applyBorder="1" applyAlignment="1">
      <alignment horizontal="right"/>
    </xf>
    <xf numFmtId="43" fontId="14" fillId="0" borderId="29" xfId="1" applyFont="1" applyFill="1" applyBorder="1" applyAlignment="1">
      <alignment horizontal="right"/>
    </xf>
    <xf numFmtId="43" fontId="14" fillId="0" borderId="30" xfId="1" applyFont="1" applyFill="1" applyBorder="1" applyAlignment="1">
      <alignment horizontal="right"/>
    </xf>
    <xf numFmtId="0" fontId="10" fillId="5" borderId="10" xfId="2" quotePrefix="1" applyNumberFormat="1" applyFont="1" applyFill="1" applyBorder="1" applyAlignment="1">
      <alignment horizontal="center" vertical="center"/>
    </xf>
    <xf numFmtId="2" fontId="0" fillId="0" borderId="12" xfId="0" applyNumberFormat="1" applyBorder="1" applyAlignment="1">
      <alignment horizontal="right"/>
    </xf>
    <xf numFmtId="10" fontId="14" fillId="5" borderId="12" xfId="3" applyNumberFormat="1" applyFont="1" applyFill="1" applyBorder="1" applyAlignment="1">
      <alignment horizontal="right"/>
    </xf>
    <xf numFmtId="10" fontId="14" fillId="0" borderId="12" xfId="3" applyNumberFormat="1" applyFont="1" applyFill="1" applyBorder="1" applyAlignment="1">
      <alignment horizontal="right"/>
    </xf>
    <xf numFmtId="0" fontId="15" fillId="2" borderId="24" xfId="0" applyFont="1" applyFill="1" applyBorder="1" applyAlignment="1">
      <alignment horizontal="center" vertical="center"/>
    </xf>
    <xf numFmtId="0" fontId="10" fillId="2" borderId="25" xfId="0" applyFont="1" applyFill="1" applyBorder="1"/>
    <xf numFmtId="43" fontId="10" fillId="2" borderId="25" xfId="1" applyFont="1" applyFill="1" applyBorder="1" applyAlignment="1">
      <alignment horizontal="right" vertical="center"/>
    </xf>
    <xf numFmtId="10" fontId="10" fillId="2" borderId="25" xfId="3" applyNumberFormat="1" applyFont="1" applyFill="1" applyBorder="1" applyAlignment="1">
      <alignment horizontal="center" vertical="center"/>
    </xf>
    <xf numFmtId="43" fontId="10" fillId="2" borderId="25" xfId="1" applyFont="1" applyFill="1" applyBorder="1" applyAlignment="1">
      <alignment horizontal="right"/>
    </xf>
    <xf numFmtId="43" fontId="10" fillId="2" borderId="36" xfId="1" applyFont="1" applyFill="1" applyBorder="1" applyAlignment="1">
      <alignment horizontal="center"/>
    </xf>
    <xf numFmtId="0" fontId="14" fillId="2" borderId="27" xfId="0" applyFont="1" applyFill="1" applyBorder="1" applyAlignment="1">
      <alignment horizontal="center" vertical="center"/>
    </xf>
    <xf numFmtId="0" fontId="10" fillId="2" borderId="19" xfId="0" applyFont="1" applyFill="1" applyBorder="1"/>
    <xf numFmtId="43" fontId="10" fillId="2" borderId="19" xfId="1" applyFont="1" applyFill="1" applyBorder="1" applyAlignment="1">
      <alignment horizontal="center" vertical="center"/>
    </xf>
    <xf numFmtId="4" fontId="10" fillId="2" borderId="19" xfId="1" applyNumberFormat="1" applyFont="1" applyFill="1" applyBorder="1" applyAlignment="1">
      <alignment horizontal="center"/>
    </xf>
    <xf numFmtId="43" fontId="10" fillId="2" borderId="37" xfId="1" applyFont="1" applyFill="1" applyBorder="1" applyAlignment="1">
      <alignment horizontal="right"/>
    </xf>
    <xf numFmtId="2" fontId="0" fillId="0" borderId="29" xfId="0" applyNumberFormat="1" applyBorder="1"/>
    <xf numFmtId="164" fontId="10" fillId="2" borderId="34" xfId="0" applyNumberFormat="1" applyFont="1" applyFill="1" applyBorder="1"/>
    <xf numFmtId="164" fontId="10" fillId="2" borderId="26" xfId="0" applyNumberFormat="1" applyFont="1" applyFill="1" applyBorder="1"/>
    <xf numFmtId="164" fontId="10" fillId="2" borderId="18" xfId="0" applyNumberFormat="1" applyFont="1" applyFill="1" applyBorder="1"/>
    <xf numFmtId="164" fontId="10" fillId="2" borderId="20" xfId="0" applyNumberFormat="1" applyFont="1" applyFill="1" applyBorder="1"/>
    <xf numFmtId="0" fontId="15" fillId="2" borderId="28" xfId="0" applyFont="1" applyFill="1" applyBorder="1" applyAlignment="1">
      <alignment horizontal="center" vertical="center"/>
    </xf>
    <xf numFmtId="43" fontId="15" fillId="2" borderId="29" xfId="1" applyFont="1" applyFill="1" applyBorder="1" applyAlignment="1">
      <alignment horizontal="center" vertical="center"/>
    </xf>
    <xf numFmtId="4" fontId="15" fillId="2" borderId="29" xfId="1" applyNumberFormat="1" applyFont="1" applyFill="1" applyBorder="1" applyAlignment="1">
      <alignment horizontal="center" vertical="center"/>
    </xf>
    <xf numFmtId="43" fontId="15" fillId="2" borderId="30" xfId="1" applyFont="1" applyFill="1" applyBorder="1" applyAlignment="1">
      <alignment horizontal="center" vertical="center"/>
    </xf>
    <xf numFmtId="0" fontId="0" fillId="0" borderId="29" xfId="0" applyBorder="1" applyAlignment="1">
      <alignment horizontal="center"/>
    </xf>
    <xf numFmtId="0" fontId="0" fillId="0" borderId="32" xfId="0" applyBorder="1" applyAlignment="1">
      <alignment horizontal="center"/>
    </xf>
    <xf numFmtId="0" fontId="0" fillId="0" borderId="33" xfId="0" applyBorder="1" applyAlignment="1">
      <alignment horizontal="center"/>
    </xf>
    <xf numFmtId="2" fontId="0" fillId="0" borderId="0" xfId="0" applyNumberFormat="1"/>
    <xf numFmtId="2" fontId="0" fillId="0" borderId="30" xfId="0" applyNumberFormat="1" applyBorder="1"/>
    <xf numFmtId="0" fontId="6" fillId="0" borderId="40" xfId="0" applyFont="1" applyBorder="1"/>
    <xf numFmtId="2" fontId="8" fillId="0" borderId="19" xfId="0" applyNumberFormat="1" applyFont="1" applyBorder="1"/>
    <xf numFmtId="2" fontId="8" fillId="3" borderId="39" xfId="0" applyNumberFormat="1" applyFont="1" applyFill="1" applyBorder="1"/>
    <xf numFmtId="4" fontId="0" fillId="0" borderId="12" xfId="0" applyNumberFormat="1" applyBorder="1"/>
    <xf numFmtId="43" fontId="14" fillId="0" borderId="12" xfId="1" applyFont="1" applyFill="1" applyBorder="1" applyAlignment="1">
      <alignment horizontal="right"/>
    </xf>
    <xf numFmtId="0" fontId="10" fillId="0" borderId="49" xfId="0" applyFont="1" applyFill="1" applyBorder="1" applyAlignment="1">
      <alignment horizontal="center" vertical="center"/>
    </xf>
    <xf numFmtId="2" fontId="0" fillId="0" borderId="29" xfId="0" applyNumberFormat="1" applyFill="1" applyBorder="1"/>
    <xf numFmtId="10" fontId="14" fillId="5" borderId="29" xfId="3" applyNumberFormat="1" applyFont="1" applyFill="1" applyBorder="1" applyAlignment="1">
      <alignment horizontal="right"/>
    </xf>
    <xf numFmtId="43" fontId="14" fillId="5" borderId="50" xfId="1" applyFont="1" applyFill="1" applyBorder="1" applyAlignment="1">
      <alignment horizontal="right"/>
    </xf>
    <xf numFmtId="43" fontId="14" fillId="0" borderId="13" xfId="1" applyFont="1" applyFill="1" applyBorder="1" applyAlignment="1">
      <alignment horizontal="right"/>
    </xf>
    <xf numFmtId="4" fontId="0" fillId="0" borderId="29" xfId="0" applyNumberFormat="1" applyBorder="1"/>
    <xf numFmtId="4" fontId="0" fillId="0" borderId="30" xfId="0" applyNumberFormat="1" applyBorder="1"/>
    <xf numFmtId="4" fontId="8" fillId="3" borderId="39" xfId="0" applyNumberFormat="1" applyFont="1" applyFill="1" applyBorder="1"/>
    <xf numFmtId="0" fontId="0" fillId="6" borderId="21" xfId="0" applyFill="1" applyBorder="1"/>
    <xf numFmtId="0" fontId="0" fillId="6" borderId="22" xfId="0" applyFill="1" applyBorder="1"/>
    <xf numFmtId="0" fontId="0" fillId="6" borderId="23" xfId="0" applyFill="1" applyBorder="1"/>
    <xf numFmtId="0" fontId="0" fillId="6" borderId="22" xfId="0" applyFill="1" applyBorder="1" applyAlignment="1">
      <alignment horizontal="center"/>
    </xf>
    <xf numFmtId="0" fontId="6" fillId="4" borderId="0" xfId="0" applyFont="1" applyFill="1" applyAlignment="1">
      <alignment vertical="center" wrapText="1"/>
    </xf>
    <xf numFmtId="0" fontId="6" fillId="0" borderId="15" xfId="0" applyFont="1" applyBorder="1"/>
    <xf numFmtId="4" fontId="8" fillId="0" borderId="19" xfId="0" applyNumberFormat="1" applyFont="1" applyBorder="1"/>
    <xf numFmtId="0" fontId="0" fillId="0" borderId="12" xfId="0" applyFill="1" applyBorder="1" applyAlignment="1">
      <alignment horizontal="center" vertical="center" wrapText="1"/>
    </xf>
    <xf numFmtId="0" fontId="4" fillId="0" borderId="12" xfId="0" applyFont="1" applyFill="1" applyBorder="1" applyAlignment="1">
      <alignment horizontal="center" vertical="center" wrapText="1"/>
    </xf>
    <xf numFmtId="2" fontId="4" fillId="0" borderId="12" xfId="0" applyNumberFormat="1" applyFont="1" applyFill="1" applyBorder="1" applyAlignment="1">
      <alignment horizontal="center" vertical="center" wrapText="1"/>
    </xf>
    <xf numFmtId="165" fontId="4" fillId="0" borderId="12" xfId="0" applyNumberFormat="1" applyFont="1" applyFill="1" applyBorder="1" applyAlignment="1">
      <alignment horizontal="center" vertical="center"/>
    </xf>
    <xf numFmtId="0" fontId="4" fillId="0" borderId="12" xfId="0" applyFont="1" applyFill="1" applyBorder="1" applyAlignment="1">
      <alignment horizontal="left" vertical="center"/>
    </xf>
    <xf numFmtId="0" fontId="0" fillId="0" borderId="0" xfId="0"/>
    <xf numFmtId="0" fontId="18" fillId="0" borderId="0" xfId="0" applyFont="1"/>
    <xf numFmtId="2" fontId="20" fillId="3" borderId="12" xfId="0" applyNumberFormat="1" applyFont="1" applyFill="1" applyBorder="1" applyAlignment="1">
      <alignment horizontal="center"/>
    </xf>
    <xf numFmtId="0" fontId="17" fillId="0" borderId="47" xfId="0" applyFont="1" applyFill="1" applyBorder="1" applyAlignment="1">
      <alignment horizontal="center" vertical="center"/>
    </xf>
    <xf numFmtId="0" fontId="18" fillId="0" borderId="12" xfId="0" applyNumberFormat="1" applyFont="1" applyFill="1" applyBorder="1" applyAlignment="1">
      <alignment horizontal="center"/>
    </xf>
    <xf numFmtId="2" fontId="18" fillId="0" borderId="12" xfId="0" applyNumberFormat="1" applyFont="1" applyFill="1" applyBorder="1" applyAlignment="1">
      <alignment horizontal="center"/>
    </xf>
    <xf numFmtId="2" fontId="18" fillId="0" borderId="12" xfId="0" applyNumberFormat="1" applyFont="1" applyFill="1" applyBorder="1"/>
    <xf numFmtId="43" fontId="18" fillId="0" borderId="13" xfId="0" applyNumberFormat="1" applyFont="1" applyFill="1" applyBorder="1"/>
    <xf numFmtId="2" fontId="20" fillId="3" borderId="12" xfId="0" applyNumberFormat="1" applyFont="1" applyFill="1" applyBorder="1"/>
    <xf numFmtId="2" fontId="18" fillId="0" borderId="10" xfId="0" applyNumberFormat="1" applyFont="1" applyFill="1" applyBorder="1" applyAlignment="1">
      <alignment horizontal="center"/>
    </xf>
    <xf numFmtId="0" fontId="18" fillId="0" borderId="12" xfId="0" applyFont="1" applyFill="1" applyBorder="1" applyAlignment="1">
      <alignment horizontal="center" wrapText="1"/>
    </xf>
    <xf numFmtId="2" fontId="18" fillId="0" borderId="12" xfId="0" applyNumberFormat="1" applyFont="1" applyFill="1" applyBorder="1" applyAlignment="1">
      <alignment wrapText="1"/>
    </xf>
    <xf numFmtId="2" fontId="18" fillId="0" borderId="12" xfId="0" applyNumberFormat="1" applyFont="1" applyBorder="1" applyAlignment="1">
      <alignment horizontal="center"/>
    </xf>
    <xf numFmtId="0" fontId="21" fillId="0" borderId="12" xfId="0" applyFont="1" applyBorder="1" applyAlignment="1">
      <alignment wrapText="1"/>
    </xf>
    <xf numFmtId="0" fontId="17" fillId="0" borderId="12" xfId="0" applyFont="1" applyFill="1" applyBorder="1" applyAlignment="1">
      <alignment horizontal="center" vertical="center"/>
    </xf>
    <xf numFmtId="2" fontId="18" fillId="0" borderId="12" xfId="0" applyNumberFormat="1" applyFont="1" applyBorder="1"/>
    <xf numFmtId="0" fontId="21" fillId="0" borderId="12" xfId="0" applyFont="1" applyBorder="1"/>
    <xf numFmtId="0" fontId="18" fillId="0" borderId="0" xfId="0" applyFont="1" applyFill="1"/>
    <xf numFmtId="2" fontId="18" fillId="0" borderId="12" xfId="0" applyNumberFormat="1" applyFont="1" applyBorder="1" applyAlignment="1">
      <alignment wrapText="1"/>
    </xf>
    <xf numFmtId="43" fontId="18" fillId="0" borderId="13" xfId="0" applyNumberFormat="1" applyFont="1" applyBorder="1"/>
    <xf numFmtId="2" fontId="17" fillId="0" borderId="10" xfId="0" applyNumberFormat="1" applyFont="1" applyFill="1" applyBorder="1" applyAlignment="1">
      <alignment horizontal="center"/>
    </xf>
    <xf numFmtId="2" fontId="17" fillId="0" borderId="12" xfId="0" applyNumberFormat="1" applyFont="1" applyFill="1" applyBorder="1" applyAlignment="1">
      <alignment horizontal="center" vertical="center"/>
    </xf>
    <xf numFmtId="2" fontId="18" fillId="0" borderId="10" xfId="0" applyNumberFormat="1" applyFont="1" applyBorder="1" applyAlignment="1">
      <alignment horizontal="center"/>
    </xf>
    <xf numFmtId="0" fontId="18" fillId="0" borderId="12" xfId="0" applyNumberFormat="1" applyFont="1" applyBorder="1" applyAlignment="1">
      <alignment horizontal="center"/>
    </xf>
    <xf numFmtId="43" fontId="18" fillId="0" borderId="0" xfId="0" applyNumberFormat="1" applyFont="1"/>
    <xf numFmtId="0" fontId="18" fillId="2" borderId="12" xfId="0" applyFont="1" applyFill="1" applyBorder="1"/>
    <xf numFmtId="43" fontId="20" fillId="2" borderId="13" xfId="0" applyNumberFormat="1" applyFont="1" applyFill="1" applyBorder="1"/>
    <xf numFmtId="0" fontId="18" fillId="2" borderId="19" xfId="0" applyFont="1" applyFill="1" applyBorder="1"/>
    <xf numFmtId="43" fontId="20" fillId="2" borderId="20" xfId="0" applyNumberFormat="1" applyFont="1" applyFill="1" applyBorder="1"/>
    <xf numFmtId="164" fontId="19" fillId="2" borderId="29" xfId="1" applyNumberFormat="1" applyFont="1" applyFill="1" applyBorder="1" applyAlignment="1">
      <alignment horizontal="center" vertical="center"/>
    </xf>
    <xf numFmtId="0" fontId="2" fillId="0" borderId="21" xfId="0" applyFont="1" applyFill="1" applyBorder="1" applyAlignment="1">
      <alignment horizontal="center" vertical="center"/>
    </xf>
    <xf numFmtId="0" fontId="2" fillId="0" borderId="22" xfId="0" applyFont="1" applyFill="1" applyBorder="1" applyAlignment="1">
      <alignment horizontal="center" vertical="center"/>
    </xf>
    <xf numFmtId="0" fontId="5" fillId="0" borderId="22" xfId="0" applyFont="1" applyFill="1" applyBorder="1"/>
    <xf numFmtId="164" fontId="2" fillId="0" borderId="22" xfId="1" applyNumberFormat="1" applyFont="1" applyFill="1" applyBorder="1" applyAlignment="1">
      <alignment horizontal="center" vertical="center"/>
    </xf>
    <xf numFmtId="4" fontId="2" fillId="0" borderId="22" xfId="1" applyNumberFormat="1" applyFont="1" applyFill="1" applyBorder="1" applyAlignment="1">
      <alignment horizontal="center"/>
    </xf>
    <xf numFmtId="164" fontId="2" fillId="0" borderId="22" xfId="1" applyNumberFormat="1" applyFont="1" applyFill="1" applyBorder="1" applyAlignment="1">
      <alignment horizontal="center"/>
    </xf>
    <xf numFmtId="164" fontId="2" fillId="0" borderId="23" xfId="1" applyNumberFormat="1" applyFont="1" applyFill="1" applyBorder="1"/>
    <xf numFmtId="0" fontId="17" fillId="0" borderId="49" xfId="0" applyFont="1" applyFill="1" applyBorder="1" applyAlignment="1">
      <alignment horizontal="center" vertical="center"/>
    </xf>
    <xf numFmtId="0" fontId="18" fillId="0" borderId="29" xfId="0" applyNumberFormat="1" applyFont="1" applyFill="1" applyBorder="1" applyAlignment="1">
      <alignment horizontal="center"/>
    </xf>
    <xf numFmtId="2" fontId="18" fillId="0" borderId="29" xfId="0" applyNumberFormat="1" applyFont="1" applyFill="1" applyBorder="1" applyAlignment="1">
      <alignment horizontal="left" wrapText="1"/>
    </xf>
    <xf numFmtId="2" fontId="18" fillId="0" borderId="29" xfId="0" applyNumberFormat="1" applyFont="1" applyFill="1" applyBorder="1" applyAlignment="1">
      <alignment horizontal="center"/>
    </xf>
    <xf numFmtId="2" fontId="18" fillId="0" borderId="29" xfId="0" applyNumberFormat="1" applyFont="1" applyFill="1" applyBorder="1"/>
    <xf numFmtId="43" fontId="18" fillId="0" borderId="30" xfId="0" applyNumberFormat="1" applyFont="1" applyFill="1" applyBorder="1"/>
    <xf numFmtId="2" fontId="20" fillId="3" borderId="31" xfId="0" applyNumberFormat="1" applyFont="1" applyFill="1" applyBorder="1" applyAlignment="1">
      <alignment horizontal="center"/>
    </xf>
    <xf numFmtId="2" fontId="20" fillId="3" borderId="32" xfId="0" applyNumberFormat="1" applyFont="1" applyFill="1" applyBorder="1" applyAlignment="1">
      <alignment horizontal="center"/>
    </xf>
    <xf numFmtId="2" fontId="20" fillId="3" borderId="32" xfId="0" applyNumberFormat="1" applyFont="1" applyFill="1" applyBorder="1" applyAlignment="1">
      <alignment horizontal="left"/>
    </xf>
    <xf numFmtId="2" fontId="20" fillId="3" borderId="33" xfId="0" applyNumberFormat="1" applyFont="1" applyFill="1" applyBorder="1" applyAlignment="1">
      <alignment horizontal="right"/>
    </xf>
    <xf numFmtId="0" fontId="18" fillId="0" borderId="11" xfId="0" applyNumberFormat="1" applyFont="1" applyFill="1" applyBorder="1" applyAlignment="1">
      <alignment horizontal="center"/>
    </xf>
    <xf numFmtId="2" fontId="18" fillId="0" borderId="11" xfId="0" applyNumberFormat="1" applyFont="1" applyFill="1" applyBorder="1" applyAlignment="1">
      <alignment horizontal="left" wrapText="1"/>
    </xf>
    <xf numFmtId="2" fontId="18" fillId="0" borderId="11" xfId="0" applyNumberFormat="1" applyFont="1" applyFill="1" applyBorder="1" applyAlignment="1">
      <alignment horizontal="center"/>
    </xf>
    <xf numFmtId="2" fontId="18" fillId="0" borderId="11" xfId="0" applyNumberFormat="1" applyFont="1" applyFill="1" applyBorder="1"/>
    <xf numFmtId="43" fontId="18" fillId="0" borderId="14" xfId="0" applyNumberFormat="1" applyFont="1" applyFill="1" applyBorder="1"/>
    <xf numFmtId="2" fontId="18" fillId="0" borderId="28" xfId="0" applyNumberFormat="1" applyFont="1" applyFill="1" applyBorder="1" applyAlignment="1">
      <alignment horizontal="center"/>
    </xf>
    <xf numFmtId="2" fontId="20" fillId="3" borderId="32" xfId="0" applyNumberFormat="1" applyFont="1" applyFill="1" applyBorder="1"/>
    <xf numFmtId="4" fontId="20" fillId="3" borderId="33" xfId="0" applyNumberFormat="1" applyFont="1" applyFill="1" applyBorder="1" applyAlignment="1">
      <alignment horizontal="right"/>
    </xf>
    <xf numFmtId="2" fontId="18" fillId="0" borderId="47" xfId="0" applyNumberFormat="1" applyFont="1" applyFill="1" applyBorder="1" applyAlignment="1">
      <alignment horizontal="center"/>
    </xf>
    <xf numFmtId="0" fontId="18" fillId="0" borderId="11" xfId="0" applyFont="1" applyFill="1" applyBorder="1" applyAlignment="1">
      <alignment horizontal="center" wrapText="1"/>
    </xf>
    <xf numFmtId="2" fontId="18" fillId="0" borderId="11" xfId="0" applyNumberFormat="1" applyFont="1" applyFill="1" applyBorder="1" applyAlignment="1">
      <alignment wrapText="1"/>
    </xf>
    <xf numFmtId="2" fontId="18" fillId="0" borderId="29" xfId="0" applyNumberFormat="1" applyFont="1" applyBorder="1" applyAlignment="1">
      <alignment horizontal="center"/>
    </xf>
    <xf numFmtId="0" fontId="21" fillId="0" borderId="29" xfId="0" applyFont="1" applyBorder="1" applyAlignment="1">
      <alignment wrapText="1"/>
    </xf>
    <xf numFmtId="0" fontId="17" fillId="0" borderId="29" xfId="0" applyFont="1" applyFill="1" applyBorder="1" applyAlignment="1">
      <alignment horizontal="center" vertical="center"/>
    </xf>
    <xf numFmtId="2" fontId="18" fillId="0" borderId="11" xfId="0" applyNumberFormat="1" applyFont="1" applyBorder="1" applyAlignment="1">
      <alignment horizontal="center"/>
    </xf>
    <xf numFmtId="0" fontId="21" fillId="0" borderId="11" xfId="0" applyFont="1" applyBorder="1" applyAlignment="1">
      <alignment wrapText="1"/>
    </xf>
    <xf numFmtId="2" fontId="18" fillId="0" borderId="28" xfId="0" applyNumberFormat="1" applyFont="1" applyBorder="1" applyAlignment="1">
      <alignment horizontal="center"/>
    </xf>
    <xf numFmtId="2" fontId="18" fillId="0" borderId="29" xfId="0" applyNumberFormat="1" applyFont="1" applyBorder="1" applyAlignment="1">
      <alignment wrapText="1"/>
    </xf>
    <xf numFmtId="43" fontId="18" fillId="0" borderId="30" xfId="0" applyNumberFormat="1" applyFont="1" applyBorder="1"/>
    <xf numFmtId="2" fontId="20" fillId="3" borderId="32" xfId="0" applyNumberFormat="1" applyFont="1" applyFill="1" applyBorder="1" applyAlignment="1">
      <alignment wrapText="1"/>
    </xf>
    <xf numFmtId="2" fontId="18" fillId="0" borderId="47" xfId="0" applyNumberFormat="1" applyFont="1" applyBorder="1" applyAlignment="1">
      <alignment horizontal="center"/>
    </xf>
    <xf numFmtId="43" fontId="18" fillId="0" borderId="14" xfId="0" applyNumberFormat="1" applyFont="1" applyBorder="1"/>
    <xf numFmtId="2" fontId="17" fillId="0" borderId="28" xfId="0" applyNumberFormat="1" applyFont="1" applyFill="1" applyBorder="1" applyAlignment="1">
      <alignment horizontal="center"/>
    </xf>
    <xf numFmtId="2" fontId="17" fillId="0" borderId="29" xfId="0" applyNumberFormat="1" applyFont="1" applyFill="1" applyBorder="1" applyAlignment="1">
      <alignment horizontal="center" vertical="center"/>
    </xf>
    <xf numFmtId="2" fontId="17" fillId="0" borderId="47" xfId="0" applyNumberFormat="1" applyFont="1" applyFill="1" applyBorder="1" applyAlignment="1">
      <alignment horizontal="center"/>
    </xf>
    <xf numFmtId="2" fontId="17" fillId="0" borderId="11" xfId="0" applyNumberFormat="1" applyFont="1" applyFill="1" applyBorder="1" applyAlignment="1">
      <alignment horizontal="center" vertical="center"/>
    </xf>
    <xf numFmtId="0" fontId="17" fillId="0" borderId="11" xfId="0" applyFont="1" applyFill="1" applyBorder="1" applyAlignment="1">
      <alignment horizontal="center" vertical="center"/>
    </xf>
    <xf numFmtId="0" fontId="18" fillId="0" borderId="11" xfId="0" applyNumberFormat="1" applyFont="1" applyBorder="1" applyAlignment="1">
      <alignment horizontal="center"/>
    </xf>
    <xf numFmtId="2" fontId="18" fillId="0" borderId="49" xfId="0" applyNumberFormat="1" applyFont="1" applyBorder="1" applyAlignment="1">
      <alignment horizontal="center"/>
    </xf>
    <xf numFmtId="0" fontId="18" fillId="0" borderId="48" xfId="0" applyNumberFormat="1" applyFont="1" applyBorder="1" applyAlignment="1">
      <alignment horizontal="center"/>
    </xf>
    <xf numFmtId="2" fontId="18" fillId="0" borderId="48" xfId="0" applyNumberFormat="1" applyFont="1" applyBorder="1" applyAlignment="1">
      <alignment wrapText="1"/>
    </xf>
    <xf numFmtId="2" fontId="18" fillId="0" borderId="48" xfId="0" applyNumberFormat="1" applyFont="1" applyBorder="1" applyAlignment="1">
      <alignment horizontal="center"/>
    </xf>
    <xf numFmtId="2" fontId="18" fillId="0" borderId="48" xfId="0" applyNumberFormat="1" applyFont="1" applyFill="1" applyBorder="1"/>
    <xf numFmtId="43" fontId="18" fillId="0" borderId="41" xfId="0" applyNumberFormat="1" applyFont="1" applyBorder="1"/>
    <xf numFmtId="0" fontId="0" fillId="0" borderId="40" xfId="0" applyBorder="1"/>
    <xf numFmtId="0" fontId="0" fillId="0" borderId="0" xfId="0" applyBorder="1"/>
    <xf numFmtId="0" fontId="0" fillId="0" borderId="43" xfId="0" applyBorder="1"/>
    <xf numFmtId="2" fontId="0" fillId="0" borderId="0" xfId="0" applyNumberFormat="1" applyBorder="1"/>
    <xf numFmtId="2" fontId="0" fillId="0" borderId="43" xfId="0" applyNumberFormat="1" applyBorder="1"/>
    <xf numFmtId="0" fontId="0" fillId="0" borderId="40" xfId="0" applyFill="1" applyBorder="1"/>
    <xf numFmtId="2" fontId="0" fillId="0" borderId="0" xfId="0" applyNumberFormat="1" applyFill="1" applyBorder="1"/>
    <xf numFmtId="0" fontId="0" fillId="0" borderId="0" xfId="0" applyFill="1" applyBorder="1"/>
    <xf numFmtId="0" fontId="0" fillId="0" borderId="43" xfId="0" applyFill="1" applyBorder="1"/>
    <xf numFmtId="0" fontId="0" fillId="0" borderId="51" xfId="0" applyBorder="1"/>
    <xf numFmtId="0" fontId="0" fillId="0" borderId="52" xfId="0" applyBorder="1"/>
    <xf numFmtId="0" fontId="22" fillId="0" borderId="52" xfId="2" applyFont="1" applyFill="1" applyBorder="1" applyAlignment="1">
      <alignment vertical="center"/>
    </xf>
    <xf numFmtId="0" fontId="8" fillId="0" borderId="10" xfId="0" applyNumberFormat="1" applyFont="1" applyBorder="1" applyAlignment="1">
      <alignment horizontal="center" wrapText="1"/>
    </xf>
    <xf numFmtId="0" fontId="10" fillId="2" borderId="25" xfId="3" applyNumberFormat="1" applyFont="1" applyFill="1" applyBorder="1" applyAlignment="1">
      <alignment horizontal="center"/>
    </xf>
    <xf numFmtId="0" fontId="10" fillId="2" borderId="19" xfId="3" applyNumberFormat="1" applyFont="1" applyFill="1" applyBorder="1" applyAlignment="1">
      <alignment horizontal="center"/>
    </xf>
    <xf numFmtId="0" fontId="10" fillId="2" borderId="34" xfId="3" applyNumberFormat="1" applyFont="1" applyFill="1" applyBorder="1" applyAlignment="1">
      <alignment horizontal="center"/>
    </xf>
    <xf numFmtId="0" fontId="10" fillId="2" borderId="18" xfId="0" applyNumberFormat="1" applyFont="1" applyFill="1" applyBorder="1" applyAlignment="1">
      <alignment horizontal="center"/>
    </xf>
    <xf numFmtId="0" fontId="21" fillId="0" borderId="48" xfId="0" applyFont="1" applyBorder="1" applyAlignment="1">
      <alignment wrapText="1"/>
    </xf>
    <xf numFmtId="2" fontId="17" fillId="0" borderId="48" xfId="0" applyNumberFormat="1" applyFont="1" applyFill="1" applyBorder="1" applyAlignment="1">
      <alignment horizontal="center" vertical="center"/>
    </xf>
    <xf numFmtId="0" fontId="17" fillId="0" borderId="48" xfId="0" applyFont="1" applyFill="1" applyBorder="1" applyAlignment="1">
      <alignment horizontal="center" vertical="center"/>
    </xf>
    <xf numFmtId="0" fontId="0" fillId="0" borderId="0" xfId="0" applyFont="1"/>
    <xf numFmtId="2" fontId="18" fillId="0" borderId="49" xfId="0" applyNumberFormat="1" applyFont="1" applyFill="1" applyBorder="1" applyAlignment="1">
      <alignment horizontal="center"/>
    </xf>
    <xf numFmtId="43" fontId="18" fillId="0" borderId="41" xfId="0" applyNumberFormat="1" applyFont="1" applyFill="1" applyBorder="1"/>
    <xf numFmtId="164" fontId="19" fillId="2" borderId="19" xfId="1" applyNumberFormat="1" applyFont="1" applyFill="1" applyBorder="1" applyAlignment="1">
      <alignment horizontal="center" vertical="center" wrapText="1"/>
    </xf>
    <xf numFmtId="0" fontId="0" fillId="0" borderId="0" xfId="0"/>
    <xf numFmtId="164" fontId="19" fillId="2" borderId="25" xfId="1" applyNumberFormat="1" applyFont="1" applyFill="1" applyBorder="1" applyAlignment="1">
      <alignment horizontal="center" vertical="center"/>
    </xf>
    <xf numFmtId="2" fontId="18" fillId="0" borderId="29" xfId="0" applyNumberFormat="1" applyFont="1" applyFill="1" applyBorder="1" applyAlignment="1">
      <alignment wrapText="1"/>
    </xf>
    <xf numFmtId="0" fontId="18" fillId="2" borderId="25" xfId="0" applyFont="1" applyFill="1" applyBorder="1"/>
    <xf numFmtId="0" fontId="18" fillId="2" borderId="36" xfId="0" applyFont="1" applyFill="1" applyBorder="1"/>
    <xf numFmtId="0" fontId="18" fillId="2" borderId="42" xfId="0" applyFont="1" applyFill="1" applyBorder="1"/>
    <xf numFmtId="0" fontId="18" fillId="2" borderId="37" xfId="0" applyFont="1" applyFill="1" applyBorder="1"/>
    <xf numFmtId="4" fontId="20" fillId="2" borderId="38" xfId="0" applyNumberFormat="1" applyFont="1" applyFill="1" applyBorder="1" applyAlignment="1">
      <alignment horizontal="right"/>
    </xf>
    <xf numFmtId="43" fontId="20" fillId="2" borderId="56" xfId="0" applyNumberFormat="1" applyFont="1" applyFill="1" applyBorder="1"/>
    <xf numFmtId="43" fontId="20" fillId="2" borderId="39" xfId="0" applyNumberFormat="1" applyFont="1" applyFill="1" applyBorder="1"/>
    <xf numFmtId="43" fontId="14" fillId="0" borderId="44" xfId="1" applyFont="1" applyFill="1" applyBorder="1" applyAlignment="1">
      <alignment horizontal="right"/>
    </xf>
    <xf numFmtId="9" fontId="14" fillId="0" borderId="12" xfId="1" applyNumberFormat="1" applyFont="1" applyFill="1" applyBorder="1" applyAlignment="1">
      <alignment horizontal="right"/>
    </xf>
    <xf numFmtId="0" fontId="4" fillId="0" borderId="12" xfId="0" applyFont="1" applyFill="1" applyBorder="1" applyAlignment="1">
      <alignment horizontal="center" vertical="center"/>
    </xf>
    <xf numFmtId="0" fontId="0" fillId="0" borderId="12" xfId="0" applyFill="1" applyBorder="1" applyAlignment="1">
      <alignment horizontal="center" vertical="center"/>
    </xf>
    <xf numFmtId="164" fontId="19" fillId="2" borderId="19" xfId="1" applyNumberFormat="1" applyFont="1" applyFill="1" applyBorder="1" applyAlignment="1">
      <alignment horizontal="center" vertical="center" wrapText="1"/>
    </xf>
    <xf numFmtId="0" fontId="0" fillId="0" borderId="0" xfId="0"/>
    <xf numFmtId="9" fontId="14" fillId="0" borderId="44" xfId="1" applyNumberFormat="1" applyFont="1" applyFill="1" applyBorder="1" applyAlignment="1">
      <alignment horizontal="right"/>
    </xf>
    <xf numFmtId="2" fontId="8" fillId="0" borderId="29" xfId="0" applyNumberFormat="1" applyFont="1" applyFill="1" applyBorder="1"/>
    <xf numFmtId="2" fontId="8" fillId="0" borderId="12" xfId="0" applyNumberFormat="1" applyFont="1" applyBorder="1"/>
    <xf numFmtId="2" fontId="8" fillId="0" borderId="29" xfId="0" applyNumberFormat="1" applyFont="1" applyBorder="1"/>
    <xf numFmtId="0" fontId="10" fillId="5" borderId="47" xfId="2" quotePrefix="1" applyNumberFormat="1" applyFont="1" applyFill="1" applyBorder="1" applyAlignment="1">
      <alignment horizontal="center" vertical="center"/>
    </xf>
    <xf numFmtId="2" fontId="8" fillId="0" borderId="48" xfId="0" applyNumberFormat="1" applyFont="1" applyBorder="1"/>
    <xf numFmtId="2" fontId="0" fillId="0" borderId="48" xfId="0" applyNumberFormat="1" applyBorder="1" applyAlignment="1">
      <alignment horizontal="right"/>
    </xf>
    <xf numFmtId="10" fontId="14" fillId="5" borderId="11" xfId="3" applyNumberFormat="1" applyFont="1" applyFill="1" applyBorder="1" applyAlignment="1">
      <alignment horizontal="right"/>
    </xf>
    <xf numFmtId="43" fontId="14" fillId="5" borderId="48" xfId="1" applyFont="1" applyFill="1" applyBorder="1" applyAlignment="1">
      <alignment horizontal="right"/>
    </xf>
    <xf numFmtId="43" fontId="14" fillId="5" borderId="57" xfId="1" applyFont="1" applyFill="1" applyBorder="1" applyAlignment="1">
      <alignment horizontal="right"/>
    </xf>
    <xf numFmtId="9" fontId="14" fillId="0" borderId="11" xfId="1" applyNumberFormat="1" applyFont="1" applyFill="1" applyBorder="1" applyAlignment="1">
      <alignment horizontal="right"/>
    </xf>
    <xf numFmtId="43" fontId="14" fillId="0" borderId="58" xfId="1" applyFont="1" applyFill="1" applyBorder="1" applyAlignment="1">
      <alignment horizontal="right"/>
    </xf>
    <xf numFmtId="43" fontId="14" fillId="0" borderId="11" xfId="1" applyFont="1" applyFill="1" applyBorder="1" applyAlignment="1">
      <alignment horizontal="right"/>
    </xf>
    <xf numFmtId="9" fontId="14" fillId="0" borderId="58" xfId="1" applyNumberFormat="1" applyFont="1" applyFill="1" applyBorder="1" applyAlignment="1">
      <alignment horizontal="right"/>
    </xf>
    <xf numFmtId="43" fontId="14" fillId="0" borderId="41" xfId="1" applyFont="1" applyFill="1" applyBorder="1" applyAlignment="1">
      <alignment horizontal="right"/>
    </xf>
    <xf numFmtId="43" fontId="10" fillId="2" borderId="25" xfId="1" applyFont="1" applyFill="1" applyBorder="1" applyAlignment="1">
      <alignment horizontal="center"/>
    </xf>
    <xf numFmtId="164" fontId="10" fillId="2" borderId="25" xfId="0" applyNumberFormat="1" applyFont="1" applyFill="1" applyBorder="1"/>
    <xf numFmtId="43" fontId="10" fillId="2" borderId="19" xfId="1" applyFont="1" applyFill="1" applyBorder="1" applyAlignment="1">
      <alignment horizontal="right"/>
    </xf>
    <xf numFmtId="164" fontId="10" fillId="2" borderId="19" xfId="0" applyNumberFormat="1" applyFont="1" applyFill="1" applyBorder="1"/>
    <xf numFmtId="43" fontId="0" fillId="0" borderId="0" xfId="0" applyNumberFormat="1"/>
    <xf numFmtId="0" fontId="22" fillId="0" borderId="0" xfId="2" applyFont="1" applyFill="1" applyBorder="1" applyAlignment="1">
      <alignment horizontal="left" vertical="center"/>
    </xf>
    <xf numFmtId="0" fontId="22" fillId="0" borderId="0" xfId="2" applyFont="1" applyFill="1" applyBorder="1" applyAlignment="1">
      <alignment vertical="center"/>
    </xf>
    <xf numFmtId="0" fontId="0" fillId="0" borderId="59" xfId="0" applyBorder="1"/>
    <xf numFmtId="0" fontId="0" fillId="0" borderId="8" xfId="0" applyBorder="1"/>
    <xf numFmtId="0" fontId="22" fillId="0" borderId="40" xfId="2" applyFont="1" applyFill="1" applyBorder="1" applyAlignment="1">
      <alignment horizontal="left" vertical="center"/>
    </xf>
    <xf numFmtId="0" fontId="22" fillId="0" borderId="38" xfId="2" applyFont="1" applyFill="1" applyBorder="1" applyAlignment="1">
      <alignment horizontal="center" vertical="center"/>
    </xf>
    <xf numFmtId="0" fontId="8" fillId="2" borderId="2" xfId="0" applyFont="1" applyFill="1" applyBorder="1"/>
    <xf numFmtId="0" fontId="8" fillId="2" borderId="52" xfId="0" applyFont="1" applyFill="1" applyBorder="1"/>
    <xf numFmtId="0" fontId="21" fillId="0" borderId="12" xfId="0" applyFont="1" applyBorder="1" applyAlignment="1">
      <alignment horizontal="center" vertical="center" wrapText="1"/>
    </xf>
    <xf numFmtId="0" fontId="18" fillId="0" borderId="12" xfId="0" applyFont="1" applyBorder="1" applyAlignment="1">
      <alignment wrapText="1"/>
    </xf>
    <xf numFmtId="0" fontId="18" fillId="0" borderId="12" xfId="0" applyFont="1" applyBorder="1" applyAlignment="1">
      <alignment vertical="center" wrapText="1"/>
    </xf>
    <xf numFmtId="0" fontId="21" fillId="0" borderId="12" xfId="0" applyFont="1" applyFill="1" applyBorder="1" applyAlignment="1">
      <alignment horizontal="center" vertical="center" wrapText="1"/>
    </xf>
    <xf numFmtId="0" fontId="18" fillId="0" borderId="12" xfId="0" applyFont="1" applyFill="1" applyBorder="1" applyAlignment="1">
      <alignment wrapText="1"/>
    </xf>
    <xf numFmtId="0" fontId="18" fillId="0" borderId="12" xfId="0" applyFont="1" applyFill="1" applyBorder="1" applyAlignment="1">
      <alignment horizontal="center" vertical="center" wrapText="1"/>
    </xf>
    <xf numFmtId="0" fontId="18" fillId="0" borderId="12" xfId="0" applyFont="1" applyFill="1" applyBorder="1" applyAlignment="1">
      <alignment horizontal="left" vertical="center" wrapText="1"/>
    </xf>
    <xf numFmtId="0" fontId="18" fillId="0" borderId="12" xfId="0" applyFont="1" applyFill="1" applyBorder="1" applyAlignment="1">
      <alignment vertical="center" wrapText="1"/>
    </xf>
    <xf numFmtId="0" fontId="18" fillId="0" borderId="15" xfId="0" applyFont="1" applyFill="1" applyBorder="1" applyAlignment="1">
      <alignment wrapText="1"/>
    </xf>
    <xf numFmtId="0" fontId="21" fillId="0" borderId="12" xfId="0" applyFont="1" applyBorder="1" applyAlignment="1">
      <alignment horizontal="center" vertical="center"/>
    </xf>
    <xf numFmtId="0" fontId="21" fillId="0" borderId="11" xfId="0" applyFont="1" applyFill="1" applyBorder="1" applyAlignment="1">
      <alignment horizontal="center" vertical="center"/>
    </xf>
    <xf numFmtId="0" fontId="18" fillId="0" borderId="11" xfId="0" applyFont="1" applyBorder="1" applyAlignment="1">
      <alignment wrapText="1"/>
    </xf>
    <xf numFmtId="0" fontId="21" fillId="0" borderId="29" xfId="0" applyFont="1" applyBorder="1" applyAlignment="1">
      <alignment horizontal="center" vertical="center"/>
    </xf>
    <xf numFmtId="0" fontId="18" fillId="0" borderId="29" xfId="0" applyFont="1" applyBorder="1"/>
    <xf numFmtId="0" fontId="18" fillId="0" borderId="12" xfId="0" applyFont="1" applyBorder="1"/>
    <xf numFmtId="0" fontId="21" fillId="0" borderId="11" xfId="0" applyFont="1" applyBorder="1" applyAlignment="1">
      <alignment horizontal="center" vertical="center"/>
    </xf>
    <xf numFmtId="0" fontId="18" fillId="0" borderId="11" xfId="0" applyFont="1" applyBorder="1"/>
    <xf numFmtId="4" fontId="20" fillId="2" borderId="26" xfId="0" applyNumberFormat="1" applyFont="1" applyFill="1" applyBorder="1" applyAlignment="1">
      <alignment horizontal="right"/>
    </xf>
    <xf numFmtId="0" fontId="21" fillId="0" borderId="11" xfId="0" applyFont="1" applyBorder="1" applyAlignment="1">
      <alignment horizontal="center" vertical="center" wrapText="1"/>
    </xf>
    <xf numFmtId="0" fontId="18" fillId="0" borderId="29" xfId="0" applyFont="1" applyBorder="1" applyAlignment="1">
      <alignment wrapText="1"/>
    </xf>
    <xf numFmtId="0" fontId="21" fillId="0" borderId="29" xfId="0" applyFont="1" applyBorder="1" applyAlignment="1">
      <alignment horizontal="center" vertical="center" wrapText="1"/>
    </xf>
    <xf numFmtId="0" fontId="8" fillId="0" borderId="0" xfId="0" applyFont="1" applyBorder="1"/>
    <xf numFmtId="0" fontId="8" fillId="0" borderId="43" xfId="0" applyFont="1" applyBorder="1"/>
    <xf numFmtId="2" fontId="8" fillId="0" borderId="43" xfId="0" applyNumberFormat="1" applyFont="1" applyBorder="1"/>
    <xf numFmtId="0" fontId="8" fillId="0" borderId="52" xfId="0" applyFont="1" applyBorder="1"/>
    <xf numFmtId="2" fontId="8" fillId="0" borderId="53" xfId="0" applyNumberFormat="1" applyFont="1" applyBorder="1"/>
    <xf numFmtId="0" fontId="8" fillId="0" borderId="40" xfId="0" applyFont="1" applyBorder="1"/>
    <xf numFmtId="2" fontId="8" fillId="0" borderId="0" xfId="0" applyNumberFormat="1" applyFont="1" applyBorder="1"/>
    <xf numFmtId="0" fontId="8" fillId="0" borderId="40" xfId="0" applyFont="1" applyFill="1" applyBorder="1"/>
    <xf numFmtId="2" fontId="8" fillId="0" borderId="0" xfId="0" applyNumberFormat="1" applyFont="1" applyFill="1" applyBorder="1"/>
    <xf numFmtId="0" fontId="8" fillId="0" borderId="0" xfId="0" applyFont="1" applyFill="1" applyBorder="1"/>
    <xf numFmtId="0" fontId="8" fillId="0" borderId="0" xfId="0" applyFont="1" applyFill="1" applyBorder="1" applyAlignment="1"/>
    <xf numFmtId="0" fontId="8" fillId="0" borderId="21" xfId="0" applyFont="1" applyBorder="1"/>
    <xf numFmtId="2" fontId="8" fillId="0" borderId="22" xfId="0" applyNumberFormat="1" applyFont="1" applyBorder="1"/>
    <xf numFmtId="0" fontId="8" fillId="0" borderId="22" xfId="0" applyFont="1" applyBorder="1"/>
    <xf numFmtId="0" fontId="8" fillId="0" borderId="23" xfId="0" applyFont="1" applyBorder="1"/>
    <xf numFmtId="0" fontId="0" fillId="0" borderId="22" xfId="0" applyBorder="1"/>
    <xf numFmtId="0" fontId="0" fillId="0" borderId="23" xfId="0" applyBorder="1"/>
    <xf numFmtId="0" fontId="0" fillId="0" borderId="1" xfId="0" applyBorder="1"/>
    <xf numFmtId="0" fontId="0" fillId="0" borderId="2" xfId="0" applyBorder="1"/>
    <xf numFmtId="0" fontId="0" fillId="0" borderId="3" xfId="0" applyBorder="1"/>
    <xf numFmtId="0" fontId="8" fillId="0" borderId="53" xfId="0" applyFont="1" applyBorder="1"/>
    <xf numFmtId="0" fontId="0" fillId="0" borderId="10" xfId="0" applyFill="1" applyBorder="1" applyAlignment="1">
      <alignment horizontal="center" vertical="center"/>
    </xf>
    <xf numFmtId="0" fontId="4" fillId="0" borderId="10" xfId="0" applyFont="1" applyFill="1" applyBorder="1" applyAlignment="1">
      <alignment horizontal="center" vertical="center"/>
    </xf>
    <xf numFmtId="0" fontId="0" fillId="0" borderId="13" xfId="0" applyFill="1" applyBorder="1" applyAlignment="1">
      <alignment horizontal="center" vertical="center"/>
    </xf>
    <xf numFmtId="0" fontId="4" fillId="0" borderId="10" xfId="0" applyFont="1" applyFill="1" applyBorder="1" applyAlignment="1">
      <alignment horizontal="center" vertical="center" wrapText="1"/>
    </xf>
    <xf numFmtId="2" fontId="4" fillId="0" borderId="13" xfId="0" applyNumberFormat="1" applyFont="1" applyFill="1" applyBorder="1" applyAlignment="1">
      <alignment horizontal="center" vertical="center" wrapText="1"/>
    </xf>
    <xf numFmtId="2" fontId="8" fillId="0" borderId="20" xfId="0" applyNumberFormat="1" applyFont="1" applyFill="1" applyBorder="1" applyAlignment="1">
      <alignment horizontal="center" vertical="center"/>
    </xf>
    <xf numFmtId="0" fontId="18" fillId="0" borderId="40" xfId="0" applyFont="1" applyBorder="1"/>
    <xf numFmtId="0" fontId="18" fillId="0" borderId="0" xfId="0" applyFont="1" applyBorder="1"/>
    <xf numFmtId="0" fontId="18" fillId="0" borderId="43" xfId="0" applyFont="1" applyBorder="1"/>
    <xf numFmtId="0" fontId="20" fillId="0" borderId="40" xfId="0" applyFont="1" applyBorder="1"/>
    <xf numFmtId="0" fontId="20" fillId="0" borderId="0" xfId="0" applyFont="1" applyBorder="1"/>
    <xf numFmtId="0" fontId="26" fillId="0" borderId="0" xfId="0" applyFont="1" applyBorder="1"/>
    <xf numFmtId="2" fontId="20" fillId="0" borderId="0" xfId="0" applyNumberFormat="1" applyFont="1" applyBorder="1"/>
    <xf numFmtId="2" fontId="18" fillId="0" borderId="0" xfId="0" applyNumberFormat="1" applyFont="1" applyBorder="1"/>
    <xf numFmtId="0" fontId="18" fillId="0" borderId="51" xfId="0" applyFont="1" applyBorder="1"/>
    <xf numFmtId="0" fontId="20" fillId="0" borderId="52" xfId="0" applyFont="1" applyBorder="1"/>
    <xf numFmtId="0" fontId="18" fillId="0" borderId="52" xfId="0" applyFont="1" applyBorder="1"/>
    <xf numFmtId="0" fontId="18" fillId="0" borderId="53" xfId="0" applyFont="1" applyBorder="1"/>
    <xf numFmtId="2" fontId="20" fillId="0" borderId="52" xfId="0" applyNumberFormat="1" applyFont="1" applyBorder="1"/>
    <xf numFmtId="2" fontId="18" fillId="0" borderId="52" xfId="0" applyNumberFormat="1" applyFont="1" applyBorder="1"/>
    <xf numFmtId="0" fontId="20" fillId="0" borderId="21" xfId="0" applyFont="1" applyBorder="1"/>
    <xf numFmtId="2" fontId="20" fillId="0" borderId="22" xfId="0" applyNumberFormat="1" applyFont="1" applyBorder="1"/>
    <xf numFmtId="0" fontId="20" fillId="0" borderId="22" xfId="0" applyFont="1" applyBorder="1"/>
    <xf numFmtId="0" fontId="20" fillId="0" borderId="23" xfId="0" applyFont="1" applyBorder="1"/>
    <xf numFmtId="0" fontId="18" fillId="0" borderId="22" xfId="0" applyFont="1" applyBorder="1"/>
    <xf numFmtId="0" fontId="18" fillId="0" borderId="23" xfId="0" applyFont="1" applyBorder="1"/>
    <xf numFmtId="0" fontId="10" fillId="5" borderId="28" xfId="2" quotePrefix="1" applyNumberFormat="1" applyFont="1" applyFill="1" applyBorder="1" applyAlignment="1">
      <alignment horizontal="center" vertical="center"/>
    </xf>
    <xf numFmtId="10" fontId="14" fillId="0" borderId="44" xfId="3" applyNumberFormat="1" applyFont="1" applyFill="1" applyBorder="1" applyAlignment="1">
      <alignment horizontal="right"/>
    </xf>
    <xf numFmtId="0" fontId="27" fillId="0" borderId="40" xfId="0" applyFont="1" applyBorder="1"/>
    <xf numFmtId="0" fontId="27" fillId="0" borderId="0" xfId="0" applyFont="1" applyBorder="1"/>
    <xf numFmtId="0" fontId="27" fillId="0" borderId="43" xfId="0" applyFont="1" applyBorder="1"/>
    <xf numFmtId="0" fontId="28" fillId="0" borderId="40" xfId="0" applyFont="1" applyBorder="1"/>
    <xf numFmtId="0" fontId="27" fillId="0" borderId="0" xfId="0" applyFont="1" applyBorder="1" applyAlignment="1">
      <alignment wrapText="1"/>
    </xf>
    <xf numFmtId="0" fontId="27" fillId="0" borderId="0" xfId="0" applyFont="1" applyBorder="1" applyAlignment="1">
      <alignment horizontal="center"/>
    </xf>
    <xf numFmtId="0" fontId="27" fillId="0" borderId="0" xfId="0" applyFont="1" applyBorder="1" applyAlignment="1">
      <alignment horizontal="center" wrapText="1"/>
    </xf>
    <xf numFmtId="0" fontId="27" fillId="0" borderId="43" xfId="0" applyFont="1" applyBorder="1" applyAlignment="1">
      <alignment horizontal="center" wrapText="1"/>
    </xf>
    <xf numFmtId="0" fontId="27" fillId="0" borderId="51" xfId="0" applyFont="1" applyBorder="1"/>
    <xf numFmtId="0" fontId="27" fillId="0" borderId="52" xfId="0" applyFont="1" applyBorder="1"/>
    <xf numFmtId="0" fontId="28" fillId="0" borderId="66" xfId="0" applyFont="1" applyBorder="1"/>
    <xf numFmtId="0" fontId="9" fillId="0" borderId="21" xfId="0" applyFont="1" applyBorder="1" applyAlignment="1">
      <alignment horizontal="center"/>
    </xf>
    <xf numFmtId="0" fontId="9" fillId="0" borderId="22" xfId="0" applyFont="1" applyBorder="1" applyAlignment="1">
      <alignment horizontal="center"/>
    </xf>
    <xf numFmtId="0" fontId="9" fillId="0" borderId="23" xfId="0" applyFont="1" applyBorder="1" applyAlignment="1">
      <alignment horizontal="center"/>
    </xf>
    <xf numFmtId="0" fontId="4" fillId="0" borderId="12" xfId="0" applyFont="1" applyFill="1" applyBorder="1" applyAlignment="1">
      <alignment horizontal="center" vertical="center"/>
    </xf>
    <xf numFmtId="0" fontId="0" fillId="0" borderId="12" xfId="0" applyFill="1" applyBorder="1" applyAlignment="1">
      <alignment horizontal="center" vertical="center"/>
    </xf>
    <xf numFmtId="0" fontId="0" fillId="0" borderId="13" xfId="0" applyFill="1" applyBorder="1" applyAlignment="1">
      <alignment horizontal="center" vertical="center"/>
    </xf>
    <xf numFmtId="0" fontId="0" fillId="0" borderId="16" xfId="0" applyFill="1" applyBorder="1" applyAlignment="1">
      <alignment horizontal="center"/>
    </xf>
    <xf numFmtId="0" fontId="0" fillId="0" borderId="17" xfId="0" applyFill="1" applyBorder="1" applyAlignment="1">
      <alignment horizontal="center"/>
    </xf>
    <xf numFmtId="0" fontId="0" fillId="0" borderId="18" xfId="0" applyFill="1" applyBorder="1" applyAlignment="1">
      <alignment horizontal="center"/>
    </xf>
    <xf numFmtId="0" fontId="0" fillId="0" borderId="0" xfId="0" applyBorder="1" applyAlignment="1">
      <alignment horizontal="left" wrapText="1"/>
    </xf>
    <xf numFmtId="0" fontId="0" fillId="0" borderId="40" xfId="0" applyBorder="1" applyAlignment="1">
      <alignment horizontal="center"/>
    </xf>
    <xf numFmtId="0" fontId="0" fillId="0" borderId="0" xfId="0" applyBorder="1" applyAlignment="1">
      <alignment horizontal="center"/>
    </xf>
    <xf numFmtId="0" fontId="0" fillId="0" borderId="43" xfId="0" applyBorder="1" applyAlignment="1">
      <alignment horizontal="center"/>
    </xf>
    <xf numFmtId="0" fontId="0" fillId="0" borderId="0" xfId="0" applyAlignment="1">
      <alignment horizontal="center"/>
    </xf>
    <xf numFmtId="0" fontId="8" fillId="0" borderId="0" xfId="0" applyFont="1" applyAlignment="1">
      <alignment horizontal="center"/>
    </xf>
    <xf numFmtId="0" fontId="19" fillId="2" borderId="54" xfId="0" applyFont="1" applyFill="1" applyBorder="1" applyAlignment="1">
      <alignment horizontal="left"/>
    </xf>
    <xf numFmtId="0" fontId="19" fillId="2" borderId="55" xfId="0" applyFont="1" applyFill="1" applyBorder="1" applyAlignment="1">
      <alignment horizontal="left"/>
    </xf>
    <xf numFmtId="0" fontId="19" fillId="2" borderId="34" xfId="0" applyFont="1" applyFill="1" applyBorder="1" applyAlignment="1">
      <alignment horizontal="left"/>
    </xf>
    <xf numFmtId="0" fontId="19" fillId="2" borderId="4" xfId="0" applyFont="1" applyFill="1" applyBorder="1" applyAlignment="1">
      <alignment horizontal="left"/>
    </xf>
    <xf numFmtId="0" fontId="19" fillId="2" borderId="5" xfId="0" applyFont="1" applyFill="1" applyBorder="1" applyAlignment="1">
      <alignment horizontal="left"/>
    </xf>
    <xf numFmtId="0" fontId="19" fillId="2" borderId="15" xfId="0" applyFont="1" applyFill="1" applyBorder="1" applyAlignment="1">
      <alignment horizontal="left"/>
    </xf>
    <xf numFmtId="0" fontId="19" fillId="2" borderId="16" xfId="0" applyFont="1" applyFill="1" applyBorder="1" applyAlignment="1">
      <alignment horizontal="left"/>
    </xf>
    <xf numFmtId="0" fontId="19" fillId="2" borderId="17" xfId="0" applyFont="1" applyFill="1" applyBorder="1" applyAlignment="1">
      <alignment horizontal="left"/>
    </xf>
    <xf numFmtId="0" fontId="19" fillId="2" borderId="18" xfId="0" applyFont="1" applyFill="1" applyBorder="1" applyAlignment="1">
      <alignment horizontal="left"/>
    </xf>
    <xf numFmtId="0" fontId="22" fillId="2" borderId="21" xfId="2" applyFont="1" applyFill="1" applyBorder="1" applyAlignment="1">
      <alignment horizontal="center" vertical="center" wrapText="1"/>
    </xf>
    <xf numFmtId="0" fontId="22" fillId="2" borderId="22" xfId="2" applyFont="1" applyFill="1" applyBorder="1" applyAlignment="1">
      <alignment horizontal="center" vertical="center" wrapText="1"/>
    </xf>
    <xf numFmtId="0" fontId="23" fillId="2" borderId="23" xfId="0" applyFont="1" applyFill="1" applyBorder="1" applyAlignment="1"/>
    <xf numFmtId="0" fontId="22" fillId="0" borderId="1" xfId="2" applyFont="1" applyFill="1" applyBorder="1" applyAlignment="1">
      <alignment horizontal="left" vertical="center"/>
    </xf>
    <xf numFmtId="0" fontId="22" fillId="0" borderId="2" xfId="2" applyFont="1" applyFill="1" applyBorder="1" applyAlignment="1">
      <alignment horizontal="left" vertical="center"/>
    </xf>
    <xf numFmtId="0" fontId="22" fillId="0" borderId="3" xfId="2" applyFont="1" applyFill="1" applyBorder="1" applyAlignment="1">
      <alignment horizontal="left" vertical="center"/>
    </xf>
    <xf numFmtId="0" fontId="19" fillId="2" borderId="28" xfId="0" applyFont="1" applyFill="1" applyBorder="1" applyAlignment="1">
      <alignment horizontal="center" vertical="center"/>
    </xf>
    <xf numFmtId="0" fontId="19" fillId="2" borderId="27" xfId="0" applyFont="1" applyFill="1" applyBorder="1" applyAlignment="1">
      <alignment horizontal="center" vertical="center"/>
    </xf>
    <xf numFmtId="0" fontId="19" fillId="2" borderId="48" xfId="0" applyFont="1" applyFill="1" applyBorder="1" applyAlignment="1">
      <alignment horizontal="center" vertical="center"/>
    </xf>
    <xf numFmtId="0" fontId="19" fillId="2" borderId="35" xfId="0" applyFont="1" applyFill="1" applyBorder="1" applyAlignment="1">
      <alignment horizontal="center" vertical="center"/>
    </xf>
    <xf numFmtId="0" fontId="19" fillId="2" borderId="48" xfId="2" applyFont="1" applyFill="1" applyBorder="1" applyAlignment="1">
      <alignment horizontal="center" vertical="center"/>
    </xf>
    <xf numFmtId="0" fontId="19" fillId="2" borderId="35" xfId="2" applyFont="1" applyFill="1" applyBorder="1" applyAlignment="1">
      <alignment horizontal="center" vertical="center"/>
    </xf>
    <xf numFmtId="164" fontId="19" fillId="2" borderId="29" xfId="1" applyNumberFormat="1" applyFont="1" applyFill="1" applyBorder="1" applyAlignment="1">
      <alignment horizontal="center" vertical="center" wrapText="1"/>
    </xf>
    <xf numFmtId="164" fontId="19" fillId="2" borderId="19" xfId="1" applyNumberFormat="1" applyFont="1" applyFill="1" applyBorder="1" applyAlignment="1">
      <alignment horizontal="center" vertical="center" wrapText="1"/>
    </xf>
    <xf numFmtId="164" fontId="19" fillId="2" borderId="30" xfId="1" applyNumberFormat="1" applyFont="1" applyFill="1" applyBorder="1" applyAlignment="1">
      <alignment horizontal="center" vertical="center" wrapText="1"/>
    </xf>
    <xf numFmtId="164" fontId="19" fillId="2" borderId="20" xfId="1" applyNumberFormat="1" applyFont="1" applyFill="1" applyBorder="1" applyAlignment="1">
      <alignment horizontal="center" vertical="center" wrapText="1"/>
    </xf>
    <xf numFmtId="0" fontId="22" fillId="0" borderId="52" xfId="2" applyFont="1" applyFill="1" applyBorder="1" applyAlignment="1">
      <alignment horizontal="left" vertical="center"/>
    </xf>
    <xf numFmtId="0" fontId="22" fillId="0" borderId="53" xfId="2" applyFont="1" applyFill="1" applyBorder="1" applyAlignment="1">
      <alignment horizontal="left" vertical="center"/>
    </xf>
    <xf numFmtId="0" fontId="22" fillId="0" borderId="51" xfId="2" applyFont="1" applyFill="1" applyBorder="1" applyAlignment="1">
      <alignment horizontal="left" vertical="center"/>
    </xf>
    <xf numFmtId="0" fontId="8" fillId="0" borderId="0" xfId="0" applyFont="1" applyBorder="1" applyAlignment="1">
      <alignment horizontal="left" wrapText="1"/>
    </xf>
    <xf numFmtId="0" fontId="8" fillId="0" borderId="43" xfId="0" applyFont="1" applyBorder="1" applyAlignment="1">
      <alignment horizontal="left" wrapText="1"/>
    </xf>
    <xf numFmtId="0" fontId="8" fillId="0" borderId="21" xfId="0" applyFont="1" applyBorder="1" applyAlignment="1">
      <alignment horizontal="center"/>
    </xf>
    <xf numFmtId="0" fontId="8" fillId="0" borderId="22" xfId="0" applyFont="1" applyBorder="1" applyAlignment="1">
      <alignment horizontal="center"/>
    </xf>
    <xf numFmtId="0" fontId="8" fillId="0" borderId="23" xfId="0" applyFont="1" applyBorder="1" applyAlignment="1">
      <alignment horizontal="center"/>
    </xf>
    <xf numFmtId="2" fontId="8" fillId="0" borderId="0" xfId="0" applyNumberFormat="1" applyFont="1" applyBorder="1" applyAlignment="1">
      <alignment horizontal="left" wrapText="1"/>
    </xf>
    <xf numFmtId="2" fontId="8" fillId="0" borderId="43" xfId="0" applyNumberFormat="1" applyFont="1" applyBorder="1" applyAlignment="1">
      <alignment horizontal="left" wrapText="1"/>
    </xf>
    <xf numFmtId="0" fontId="7" fillId="0" borderId="21" xfId="0" applyFont="1" applyBorder="1" applyAlignment="1">
      <alignment horizontal="left" wrapText="1"/>
    </xf>
    <xf numFmtId="0" fontId="7" fillId="0" borderId="22" xfId="0" applyFont="1" applyBorder="1" applyAlignment="1">
      <alignment horizontal="left" wrapText="1"/>
    </xf>
    <xf numFmtId="0" fontId="7" fillId="0" borderId="23" xfId="0" applyFont="1" applyBorder="1" applyAlignment="1">
      <alignment horizontal="left" wrapText="1"/>
    </xf>
    <xf numFmtId="0" fontId="9" fillId="0" borderId="1" xfId="0" applyFont="1" applyBorder="1" applyAlignment="1">
      <alignment horizontal="center"/>
    </xf>
    <xf numFmtId="0" fontId="9" fillId="0" borderId="2" xfId="0" applyFont="1" applyBorder="1" applyAlignment="1">
      <alignment horizontal="center"/>
    </xf>
    <xf numFmtId="0" fontId="9" fillId="0" borderId="3" xfId="0" applyFont="1" applyBorder="1" applyAlignment="1">
      <alignment horizontal="center"/>
    </xf>
    <xf numFmtId="0" fontId="12" fillId="2" borderId="42" xfId="0" applyFont="1" applyFill="1" applyBorder="1" applyAlignment="1">
      <alignment horizontal="left"/>
    </xf>
    <xf numFmtId="0" fontId="12" fillId="2" borderId="15" xfId="0" applyFont="1" applyFill="1" applyBorder="1" applyAlignment="1">
      <alignment horizontal="left"/>
    </xf>
    <xf numFmtId="0" fontId="12" fillId="2" borderId="37" xfId="0" applyFont="1" applyFill="1" applyBorder="1" applyAlignment="1">
      <alignment horizontal="left"/>
    </xf>
    <xf numFmtId="0" fontId="12" fillId="2" borderId="18" xfId="0" applyFont="1" applyFill="1" applyBorder="1" applyAlignment="1">
      <alignment horizontal="left"/>
    </xf>
    <xf numFmtId="168" fontId="12" fillId="2" borderId="14" xfId="0" applyNumberFormat="1" applyFont="1" applyFill="1" applyBorder="1" applyAlignment="1">
      <alignment horizontal="center"/>
    </xf>
    <xf numFmtId="168" fontId="12" fillId="2" borderId="41" xfId="0" applyNumberFormat="1" applyFont="1" applyFill="1" applyBorder="1" applyAlignment="1">
      <alignment horizontal="center"/>
    </xf>
    <xf numFmtId="168" fontId="12" fillId="2" borderId="46" xfId="0" applyNumberFormat="1" applyFont="1" applyFill="1" applyBorder="1" applyAlignment="1">
      <alignment horizontal="center"/>
    </xf>
    <xf numFmtId="2" fontId="8" fillId="0" borderId="12" xfId="0" applyNumberFormat="1" applyFont="1" applyFill="1" applyBorder="1" applyAlignment="1">
      <alignment horizontal="left"/>
    </xf>
    <xf numFmtId="2" fontId="8" fillId="0" borderId="42" xfId="0" applyNumberFormat="1" applyFont="1" applyFill="1" applyBorder="1" applyAlignment="1">
      <alignment horizontal="left" wrapText="1"/>
    </xf>
    <xf numFmtId="2" fontId="8" fillId="0" borderId="5" xfId="0" applyNumberFormat="1" applyFont="1" applyFill="1" applyBorder="1" applyAlignment="1">
      <alignment horizontal="left" wrapText="1"/>
    </xf>
    <xf numFmtId="2" fontId="8" fillId="0" borderId="15" xfId="0" applyNumberFormat="1" applyFont="1" applyFill="1" applyBorder="1" applyAlignment="1">
      <alignment horizontal="left" wrapText="1"/>
    </xf>
    <xf numFmtId="2" fontId="8" fillId="0" borderId="42" xfId="0" applyNumberFormat="1" applyFont="1" applyFill="1" applyBorder="1" applyAlignment="1">
      <alignment horizontal="left"/>
    </xf>
    <xf numFmtId="2" fontId="8" fillId="0" borderId="5" xfId="0" applyNumberFormat="1" applyFont="1" applyFill="1" applyBorder="1" applyAlignment="1">
      <alignment horizontal="left"/>
    </xf>
    <xf numFmtId="2" fontId="8" fillId="0" borderId="15" xfId="0" applyNumberFormat="1" applyFont="1" applyFill="1" applyBorder="1" applyAlignment="1">
      <alignment horizontal="left"/>
    </xf>
    <xf numFmtId="2" fontId="9" fillId="2" borderId="1" xfId="0" applyNumberFormat="1" applyFont="1" applyFill="1" applyBorder="1" applyAlignment="1">
      <alignment horizontal="center"/>
    </xf>
    <xf numFmtId="2" fontId="9" fillId="2" borderId="2" xfId="0" applyNumberFormat="1" applyFont="1" applyFill="1" applyBorder="1" applyAlignment="1">
      <alignment horizontal="center"/>
    </xf>
    <xf numFmtId="2" fontId="9" fillId="2" borderId="3" xfId="0" applyNumberFormat="1" applyFont="1" applyFill="1" applyBorder="1" applyAlignment="1">
      <alignment horizontal="center"/>
    </xf>
    <xf numFmtId="2" fontId="0" fillId="0" borderId="4" xfId="0" applyNumberFormat="1" applyBorder="1" applyAlignment="1">
      <alignment horizontal="left"/>
    </xf>
    <xf numFmtId="2" fontId="0" fillId="0" borderId="5" xfId="0" applyNumberFormat="1" applyBorder="1" applyAlignment="1">
      <alignment horizontal="left"/>
    </xf>
    <xf numFmtId="2" fontId="0" fillId="0" borderId="6" xfId="0" applyNumberFormat="1" applyBorder="1" applyAlignment="1">
      <alignment horizontal="left"/>
    </xf>
    <xf numFmtId="0" fontId="15" fillId="2" borderId="29" xfId="2" applyFont="1" applyFill="1" applyBorder="1" applyAlignment="1">
      <alignment horizontal="center" vertical="center" wrapText="1"/>
    </xf>
    <xf numFmtId="2" fontId="8" fillId="0" borderId="12" xfId="0" applyNumberFormat="1" applyFont="1" applyFill="1" applyBorder="1" applyAlignment="1">
      <alignment horizontal="left" wrapText="1"/>
    </xf>
    <xf numFmtId="0" fontId="10" fillId="2" borderId="34" xfId="0" applyFont="1" applyFill="1" applyBorder="1" applyAlignment="1">
      <alignment horizontal="center"/>
    </xf>
    <xf numFmtId="0" fontId="10" fillId="2" borderId="26" xfId="0" applyFont="1" applyFill="1" applyBorder="1" applyAlignment="1">
      <alignment horizontal="center"/>
    </xf>
    <xf numFmtId="0" fontId="16" fillId="2" borderId="21" xfId="2" applyFont="1" applyFill="1" applyBorder="1" applyAlignment="1">
      <alignment horizontal="center" vertical="center" wrapText="1"/>
    </xf>
    <xf numFmtId="0" fontId="16" fillId="2" borderId="22" xfId="2" applyFont="1" applyFill="1" applyBorder="1" applyAlignment="1">
      <alignment horizontal="center" vertical="center" wrapText="1"/>
    </xf>
    <xf numFmtId="0" fontId="16" fillId="2" borderId="23" xfId="2" applyFont="1" applyFill="1" applyBorder="1" applyAlignment="1">
      <alignment horizontal="center" vertical="center" wrapText="1"/>
    </xf>
    <xf numFmtId="0" fontId="13" fillId="0" borderId="40" xfId="2" applyFont="1" applyFill="1" applyBorder="1" applyAlignment="1">
      <alignment horizontal="left" vertical="center"/>
    </xf>
    <xf numFmtId="0" fontId="13" fillId="0" borderId="0" xfId="2" applyFont="1" applyFill="1" applyBorder="1" applyAlignment="1">
      <alignment horizontal="left" vertical="center"/>
    </xf>
    <xf numFmtId="0" fontId="13" fillId="0" borderId="43" xfId="2" applyFont="1" applyFill="1" applyBorder="1" applyAlignment="1">
      <alignment horizontal="left" vertical="center"/>
    </xf>
    <xf numFmtId="0" fontId="13" fillId="0" borderId="51" xfId="2" applyFont="1" applyFill="1" applyBorder="1" applyAlignment="1">
      <alignment horizontal="left" vertical="center"/>
    </xf>
    <xf numFmtId="0" fontId="13" fillId="0" borderId="52" xfId="2" applyFont="1" applyFill="1" applyBorder="1" applyAlignment="1">
      <alignment horizontal="left" vertical="center"/>
    </xf>
    <xf numFmtId="0" fontId="13" fillId="0" borderId="53" xfId="2" applyFont="1" applyFill="1" applyBorder="1" applyAlignment="1">
      <alignment horizontal="left" vertical="center"/>
    </xf>
    <xf numFmtId="0" fontId="10" fillId="2" borderId="24" xfId="0" applyFont="1" applyFill="1" applyBorder="1" applyAlignment="1">
      <alignment horizontal="center" vertical="center"/>
    </xf>
    <xf numFmtId="0" fontId="10" fillId="2" borderId="27" xfId="0" applyFont="1" applyFill="1" applyBorder="1" applyAlignment="1">
      <alignment horizontal="center" vertical="center"/>
    </xf>
    <xf numFmtId="0" fontId="10" fillId="2" borderId="25" xfId="2" applyFont="1" applyFill="1" applyBorder="1" applyAlignment="1">
      <alignment horizontal="center" vertical="center" wrapText="1"/>
    </xf>
    <xf numFmtId="0" fontId="10" fillId="2" borderId="19" xfId="2" applyFont="1" applyFill="1" applyBorder="1" applyAlignment="1">
      <alignment horizontal="center" vertical="center" wrapText="1"/>
    </xf>
    <xf numFmtId="43" fontId="10" fillId="2" borderId="45" xfId="1" applyFont="1" applyFill="1" applyBorder="1" applyAlignment="1">
      <alignment horizontal="center" vertical="center" wrapText="1"/>
    </xf>
    <xf numFmtId="43" fontId="10" fillId="2" borderId="35" xfId="1" applyFont="1" applyFill="1" applyBorder="1" applyAlignment="1">
      <alignment horizontal="center" vertical="center" wrapText="1"/>
    </xf>
    <xf numFmtId="43" fontId="10" fillId="2" borderId="25" xfId="1" applyFont="1" applyFill="1" applyBorder="1" applyAlignment="1">
      <alignment horizontal="center" vertical="center" wrapText="1"/>
    </xf>
    <xf numFmtId="43" fontId="10" fillId="2" borderId="19" xfId="1" applyFont="1" applyFill="1" applyBorder="1" applyAlignment="1">
      <alignment horizontal="center" vertical="center" wrapText="1"/>
    </xf>
    <xf numFmtId="4" fontId="10" fillId="2" borderId="25" xfId="1" applyNumberFormat="1" applyFont="1" applyFill="1" applyBorder="1" applyAlignment="1">
      <alignment horizontal="center" vertical="center" wrapText="1"/>
    </xf>
    <xf numFmtId="4" fontId="10" fillId="2" borderId="19" xfId="1" applyNumberFormat="1" applyFont="1" applyFill="1" applyBorder="1" applyAlignment="1">
      <alignment horizontal="center" vertical="center" wrapText="1"/>
    </xf>
    <xf numFmtId="43" fontId="10" fillId="2" borderId="36" xfId="1" applyFont="1" applyFill="1" applyBorder="1" applyAlignment="1">
      <alignment horizontal="center" vertical="center" wrapText="1"/>
    </xf>
    <xf numFmtId="43" fontId="10" fillId="2" borderId="37" xfId="1" applyFont="1" applyFill="1" applyBorder="1" applyAlignment="1">
      <alignment horizontal="center" vertical="center" wrapText="1"/>
    </xf>
    <xf numFmtId="0" fontId="10" fillId="2" borderId="25" xfId="0" applyFont="1" applyFill="1" applyBorder="1" applyAlignment="1">
      <alignment horizontal="center"/>
    </xf>
    <xf numFmtId="0" fontId="10" fillId="2" borderId="36" xfId="0" applyFont="1" applyFill="1" applyBorder="1" applyAlignment="1">
      <alignment horizontal="center"/>
    </xf>
    <xf numFmtId="0" fontId="7" fillId="0" borderId="21" xfId="0" applyFont="1" applyBorder="1" applyAlignment="1">
      <alignment horizontal="left"/>
    </xf>
    <xf numFmtId="0" fontId="7" fillId="0" borderId="22" xfId="0" applyFont="1" applyBorder="1" applyAlignment="1">
      <alignment horizontal="left"/>
    </xf>
    <xf numFmtId="0" fontId="7" fillId="0" borderId="23" xfId="0" applyFont="1" applyBorder="1" applyAlignment="1">
      <alignment horizontal="left"/>
    </xf>
    <xf numFmtId="0" fontId="19" fillId="2" borderId="24" xfId="0" applyFont="1" applyFill="1" applyBorder="1" applyAlignment="1">
      <alignment horizontal="center" vertical="center"/>
    </xf>
    <xf numFmtId="0" fontId="19" fillId="2" borderId="45" xfId="0" applyFont="1" applyFill="1" applyBorder="1" applyAlignment="1">
      <alignment horizontal="center" vertical="center"/>
    </xf>
    <xf numFmtId="0" fontId="19" fillId="2" borderId="45" xfId="2" applyFont="1" applyFill="1" applyBorder="1" applyAlignment="1">
      <alignment horizontal="center" vertical="center"/>
    </xf>
    <xf numFmtId="164" fontId="19" fillId="2" borderId="25" xfId="1" applyNumberFormat="1" applyFont="1" applyFill="1" applyBorder="1" applyAlignment="1">
      <alignment horizontal="center" vertical="center" wrapText="1"/>
    </xf>
    <xf numFmtId="164" fontId="19" fillId="2" borderId="26" xfId="1" applyNumberFormat="1" applyFont="1" applyFill="1" applyBorder="1" applyAlignment="1">
      <alignment horizontal="center" vertical="center" wrapText="1"/>
    </xf>
    <xf numFmtId="0" fontId="20" fillId="0" borderId="0" xfId="0" applyFont="1" applyBorder="1" applyAlignment="1">
      <alignment horizontal="left" wrapText="1"/>
    </xf>
    <xf numFmtId="0" fontId="20" fillId="0" borderId="43" xfId="0" applyFont="1" applyBorder="1" applyAlignment="1">
      <alignment horizontal="left" wrapText="1"/>
    </xf>
    <xf numFmtId="0" fontId="26" fillId="0" borderId="0" xfId="0" applyFont="1" applyBorder="1"/>
    <xf numFmtId="0" fontId="26" fillId="0" borderId="43" xfId="0" applyFont="1" applyBorder="1"/>
    <xf numFmtId="0" fontId="20" fillId="0" borderId="0" xfId="0" applyFont="1" applyBorder="1"/>
    <xf numFmtId="0" fontId="20" fillId="0" borderId="43" xfId="0" applyFont="1" applyBorder="1"/>
    <xf numFmtId="2" fontId="20" fillId="0" borderId="0" xfId="0" applyNumberFormat="1" applyFont="1" applyBorder="1" applyAlignment="1">
      <alignment wrapText="1"/>
    </xf>
    <xf numFmtId="2" fontId="20" fillId="0" borderId="43" xfId="0" applyNumberFormat="1" applyFont="1" applyBorder="1" applyAlignment="1">
      <alignment wrapText="1"/>
    </xf>
    <xf numFmtId="0" fontId="20" fillId="0" borderId="0" xfId="0" applyFont="1" applyBorder="1" applyAlignment="1">
      <alignment horizontal="left"/>
    </xf>
    <xf numFmtId="0" fontId="20" fillId="0" borderId="43" xfId="0" applyFont="1" applyBorder="1" applyAlignment="1">
      <alignment horizontal="left"/>
    </xf>
    <xf numFmtId="2" fontId="20" fillId="0" borderId="0" xfId="0" applyNumberFormat="1" applyFont="1" applyBorder="1" applyAlignment="1">
      <alignment horizontal="left"/>
    </xf>
    <xf numFmtId="2" fontId="20" fillId="0" borderId="43" xfId="0" applyNumberFormat="1" applyFont="1" applyBorder="1" applyAlignment="1">
      <alignment horizontal="left"/>
    </xf>
    <xf numFmtId="0" fontId="24" fillId="0" borderId="21" xfId="0" applyFont="1" applyBorder="1" applyAlignment="1">
      <alignment horizontal="center"/>
    </xf>
    <xf numFmtId="0" fontId="24" fillId="0" borderId="22" xfId="0" applyFont="1" applyBorder="1" applyAlignment="1">
      <alignment horizontal="center"/>
    </xf>
    <xf numFmtId="0" fontId="24" fillId="0" borderId="23" xfId="0" applyFont="1" applyBorder="1" applyAlignment="1">
      <alignment horizontal="center"/>
    </xf>
    <xf numFmtId="2" fontId="20" fillId="0" borderId="0" xfId="0" applyNumberFormat="1" applyFont="1" applyBorder="1" applyAlignment="1">
      <alignment horizontal="left" wrapText="1"/>
    </xf>
    <xf numFmtId="2" fontId="20" fillId="0" borderId="43" xfId="0" applyNumberFormat="1" applyFont="1" applyBorder="1" applyAlignment="1">
      <alignment horizontal="left" wrapText="1"/>
    </xf>
    <xf numFmtId="0" fontId="28" fillId="0" borderId="21" xfId="0" applyFont="1" applyBorder="1" applyAlignment="1">
      <alignment horizontal="center"/>
    </xf>
    <xf numFmtId="0" fontId="28" fillId="0" borderId="22" xfId="0" applyFont="1" applyBorder="1" applyAlignment="1">
      <alignment horizontal="center"/>
    </xf>
    <xf numFmtId="0" fontId="28" fillId="0" borderId="23" xfId="0" applyFont="1" applyBorder="1" applyAlignment="1">
      <alignment horizontal="center"/>
    </xf>
    <xf numFmtId="0" fontId="0" fillId="0" borderId="60" xfId="0" applyBorder="1" applyAlignment="1">
      <alignment horizontal="left" vertical="center"/>
    </xf>
    <xf numFmtId="0" fontId="0" fillId="0" borderId="59" xfId="0" applyBorder="1" applyAlignment="1">
      <alignment horizontal="left" vertical="center"/>
    </xf>
    <xf numFmtId="0" fontId="0" fillId="0" borderId="40" xfId="0" applyBorder="1" applyAlignment="1">
      <alignment horizontal="left" vertical="center"/>
    </xf>
    <xf numFmtId="0" fontId="0" fillId="0" borderId="0" xfId="0" applyBorder="1" applyAlignment="1">
      <alignment horizontal="left" vertical="center"/>
    </xf>
    <xf numFmtId="168" fontId="0" fillId="0" borderId="61" xfId="0" applyNumberFormat="1" applyBorder="1" applyAlignment="1">
      <alignment horizontal="right" vertical="center"/>
    </xf>
    <xf numFmtId="168" fontId="0" fillId="0" borderId="62" xfId="0" applyNumberFormat="1" applyBorder="1" applyAlignment="1">
      <alignment horizontal="right" vertical="center"/>
    </xf>
    <xf numFmtId="168" fontId="0" fillId="0" borderId="64" xfId="0" applyNumberFormat="1" applyBorder="1" applyAlignment="1">
      <alignment horizontal="right" vertical="center"/>
    </xf>
    <xf numFmtId="0" fontId="8" fillId="2" borderId="1" xfId="0" applyFont="1" applyFill="1" applyBorder="1" applyAlignment="1">
      <alignment horizontal="left" vertical="center"/>
    </xf>
    <xf numFmtId="0" fontId="8" fillId="2" borderId="2" xfId="0" applyFont="1" applyFill="1" applyBorder="1" applyAlignment="1">
      <alignment horizontal="left" vertical="center"/>
    </xf>
    <xf numFmtId="0" fontId="8" fillId="2" borderId="51" xfId="0" applyFont="1" applyFill="1" applyBorder="1" applyAlignment="1">
      <alignment horizontal="left" vertical="center"/>
    </xf>
    <xf numFmtId="0" fontId="8" fillId="2" borderId="52" xfId="0" applyFont="1" applyFill="1" applyBorder="1" applyAlignment="1">
      <alignment horizontal="left" vertical="center"/>
    </xf>
    <xf numFmtId="168" fontId="8" fillId="2" borderId="65" xfId="0" applyNumberFormat="1" applyFont="1" applyFill="1" applyBorder="1" applyAlignment="1">
      <alignment horizontal="right" vertical="center"/>
    </xf>
    <xf numFmtId="168" fontId="8" fillId="2" borderId="63" xfId="0" applyNumberFormat="1" applyFont="1" applyFill="1" applyBorder="1" applyAlignment="1">
      <alignment horizontal="right" vertical="center"/>
    </xf>
    <xf numFmtId="0" fontId="22" fillId="0" borderId="43" xfId="2" applyFont="1" applyFill="1" applyBorder="1" applyAlignment="1">
      <alignment horizontal="left" vertical="center"/>
    </xf>
    <xf numFmtId="0" fontId="0" fillId="0" borderId="7" xfId="0" applyBorder="1" applyAlignment="1">
      <alignment horizontal="left" vertical="center"/>
    </xf>
    <xf numFmtId="0" fontId="0" fillId="0" borderId="8" xfId="0" applyBorder="1" applyAlignment="1">
      <alignment horizontal="left" vertical="center"/>
    </xf>
  </cellXfs>
  <cellStyles count="72">
    <cellStyle name="Moeda 2" xfId="6"/>
    <cellStyle name="Moeda 3" xfId="8"/>
    <cellStyle name="Moeda 4" xfId="9"/>
    <cellStyle name="Moeda 5" xfId="10"/>
    <cellStyle name="Moeda 6" xfId="11"/>
    <cellStyle name="Moeda 7" xfId="12"/>
    <cellStyle name="Normal" xfId="0" builtinId="0"/>
    <cellStyle name="Normal 10 20" xfId="13"/>
    <cellStyle name="Normal 2" xfId="14"/>
    <cellStyle name="Normal 2 2" xfId="15"/>
    <cellStyle name="Normal 2 2 2" xfId="16"/>
    <cellStyle name="Normal 2 2 2 2" xfId="17"/>
    <cellStyle name="Normal 2 2 2 2 2" xfId="18"/>
    <cellStyle name="Normal 2 2 2 2 3" xfId="19"/>
    <cellStyle name="Normal 2 2 2 2 4" xfId="20"/>
    <cellStyle name="Normal 2 2 2 2 5" xfId="21"/>
    <cellStyle name="Normal 2 2 2 3" xfId="22"/>
    <cellStyle name="Normal 2 2 2 4" xfId="23"/>
    <cellStyle name="Normal 2 2 3" xfId="24"/>
    <cellStyle name="Normal 2 2 4" xfId="25"/>
    <cellStyle name="Normal 2 2 5" xfId="26"/>
    <cellStyle name="Normal 2 3" xfId="27"/>
    <cellStyle name="Normal 2 4" xfId="28"/>
    <cellStyle name="Normal 2 5" xfId="29"/>
    <cellStyle name="Normal 3" xfId="30"/>
    <cellStyle name="Normal 3 2" xfId="31"/>
    <cellStyle name="Normal 3 3" xfId="32"/>
    <cellStyle name="Normal 3 4" xfId="33"/>
    <cellStyle name="Normal 4" xfId="34"/>
    <cellStyle name="Normal 5" xfId="35"/>
    <cellStyle name="Normal 6" xfId="7"/>
    <cellStyle name="Normal 7" xfId="36"/>
    <cellStyle name="Normal 7 2" xfId="37"/>
    <cellStyle name="Normal 7 3" xfId="38"/>
    <cellStyle name="Normal 7 4" xfId="39"/>
    <cellStyle name="Normal_Relação de material" xfId="2"/>
    <cellStyle name="Porcentagem" xfId="3" builtinId="5"/>
    <cellStyle name="Porcentagem 2" xfId="41"/>
    <cellStyle name="Porcentagem 3" xfId="42"/>
    <cellStyle name="Porcentagem 4" xfId="40"/>
    <cellStyle name="Separador de milhares 10" xfId="43"/>
    <cellStyle name="Separador de milhares 10 2" xfId="44"/>
    <cellStyle name="Separador de milhares 2" xfId="45"/>
    <cellStyle name="Separador de milhares 2 2" xfId="46"/>
    <cellStyle name="Separador de milhares 2 2 2" xfId="47"/>
    <cellStyle name="Separador de milhares 2 2 2 2" xfId="48"/>
    <cellStyle name="Separador de milhares 2 2 2 3" xfId="49"/>
    <cellStyle name="Separador de milhares 2 2 2 4" xfId="50"/>
    <cellStyle name="Separador de milhares 2 2 2 5" xfId="51"/>
    <cellStyle name="Separador de milhares 2 2 3" xfId="52"/>
    <cellStyle name="Separador de milhares 2 2 3 2" xfId="53"/>
    <cellStyle name="Separador de milhares 2 2 4" xfId="54"/>
    <cellStyle name="Separador de milhares 2 3" xfId="5"/>
    <cellStyle name="Separador de milhares 2 3 2" xfId="56"/>
    <cellStyle name="Separador de milhares 2 3 2 2" xfId="57"/>
    <cellStyle name="Separador de milhares 2 3 3" xfId="58"/>
    <cellStyle name="Separador de milhares 2 3 4" xfId="59"/>
    <cellStyle name="Separador de milhares 2 3 5" xfId="60"/>
    <cellStyle name="Separador de milhares 2 3 6" xfId="61"/>
    <cellStyle name="Separador de milhares 2 3 7" xfId="55"/>
    <cellStyle name="Separador de milhares 2 4" xfId="62"/>
    <cellStyle name="Separador de milhares 2 5" xfId="63"/>
    <cellStyle name="Separador de milhares 2 6" xfId="64"/>
    <cellStyle name="Separador de milhares 2 7" xfId="65"/>
    <cellStyle name="Separador de milhares 3" xfId="66"/>
    <cellStyle name="Separador de milhares 3 2" xfId="67"/>
    <cellStyle name="Separador de milhares 4" xfId="68"/>
    <cellStyle name="Vírgula" xfId="1" builtinId="3"/>
    <cellStyle name="Vírgula 2" xfId="69"/>
    <cellStyle name="Vírgula 2 2" xfId="70"/>
    <cellStyle name="Vírgula 3" xfId="71"/>
    <cellStyle name="Vírgula 4"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9527</xdr:colOff>
      <xdr:row>0</xdr:row>
      <xdr:rowOff>19052</xdr:rowOff>
    </xdr:from>
    <xdr:to>
      <xdr:col>2</xdr:col>
      <xdr:colOff>2571750</xdr:colOff>
      <xdr:row>0</xdr:row>
      <xdr:rowOff>1077343</xdr:rowOff>
    </xdr:to>
    <xdr:pic>
      <xdr:nvPicPr>
        <xdr:cNvPr id="2" name="Picture 218"/>
        <xdr:cNvPicPr>
          <a:picLocks noChangeAspect="1" noChangeArrowheads="1"/>
        </xdr:cNvPicPr>
      </xdr:nvPicPr>
      <xdr:blipFill>
        <a:blip xmlns:r="http://schemas.openxmlformats.org/officeDocument/2006/relationships" r:embed="rId1" cstate="print"/>
        <a:srcRect/>
        <a:stretch>
          <a:fillRect/>
        </a:stretch>
      </xdr:blipFill>
      <xdr:spPr bwMode="auto">
        <a:xfrm>
          <a:off x="9527" y="19052"/>
          <a:ext cx="4295773" cy="1058291"/>
        </a:xfrm>
        <a:prstGeom prst="rect">
          <a:avLst/>
        </a:prstGeom>
        <a:solidFill>
          <a:srgbClr val="FFFF00"/>
        </a:solid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95252</xdr:colOff>
      <xdr:row>0</xdr:row>
      <xdr:rowOff>19052</xdr:rowOff>
    </xdr:from>
    <xdr:to>
      <xdr:col>2</xdr:col>
      <xdr:colOff>2657475</xdr:colOff>
      <xdr:row>0</xdr:row>
      <xdr:rowOff>1077343</xdr:rowOff>
    </xdr:to>
    <xdr:pic>
      <xdr:nvPicPr>
        <xdr:cNvPr id="7" name="Picture 218"/>
        <xdr:cNvPicPr>
          <a:picLocks noChangeAspect="1" noChangeArrowheads="1"/>
        </xdr:cNvPicPr>
      </xdr:nvPicPr>
      <xdr:blipFill>
        <a:blip xmlns:r="http://schemas.openxmlformats.org/officeDocument/2006/relationships" r:embed="rId1" cstate="print"/>
        <a:srcRect/>
        <a:stretch>
          <a:fillRect/>
        </a:stretch>
      </xdr:blipFill>
      <xdr:spPr bwMode="auto">
        <a:xfrm>
          <a:off x="95252" y="19052"/>
          <a:ext cx="4295773" cy="1058291"/>
        </a:xfrm>
        <a:prstGeom prst="rect">
          <a:avLst/>
        </a:prstGeom>
        <a:solidFill>
          <a:srgbClr val="FFFF00"/>
        </a:solid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95253</xdr:colOff>
      <xdr:row>0</xdr:row>
      <xdr:rowOff>19052</xdr:rowOff>
    </xdr:from>
    <xdr:to>
      <xdr:col>2</xdr:col>
      <xdr:colOff>2571751</xdr:colOff>
      <xdr:row>0</xdr:row>
      <xdr:rowOff>804181</xdr:rowOff>
    </xdr:to>
    <xdr:pic>
      <xdr:nvPicPr>
        <xdr:cNvPr id="3" name="Picture 218"/>
        <xdr:cNvPicPr>
          <a:picLocks noChangeAspect="1" noChangeArrowheads="1"/>
        </xdr:cNvPicPr>
      </xdr:nvPicPr>
      <xdr:blipFill>
        <a:blip xmlns:r="http://schemas.openxmlformats.org/officeDocument/2006/relationships" r:embed="rId1" cstate="print"/>
        <a:srcRect/>
        <a:stretch>
          <a:fillRect/>
        </a:stretch>
      </xdr:blipFill>
      <xdr:spPr bwMode="auto">
        <a:xfrm>
          <a:off x="95253" y="19052"/>
          <a:ext cx="4210048" cy="785129"/>
        </a:xfrm>
        <a:prstGeom prst="rect">
          <a:avLst/>
        </a:prstGeom>
        <a:solidFill>
          <a:srgbClr val="FFFF00"/>
        </a:solidFill>
        <a:ln w="9525">
          <a:noFill/>
          <a:miter lim="800000"/>
          <a:headEnd/>
          <a:tailEnd/>
        </a:ln>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31"/>
  <sheetViews>
    <sheetView view="pageBreakPreview" topLeftCell="L1" zoomScaleNormal="100" zoomScaleSheetLayoutView="100" workbookViewId="0">
      <selection activeCell="P17" sqref="P17"/>
    </sheetView>
  </sheetViews>
  <sheetFormatPr defaultRowHeight="15" x14ac:dyDescent="0.25"/>
  <cols>
    <col min="2" max="2" width="22.7109375" bestFit="1" customWidth="1"/>
    <col min="10" max="10" width="11.28515625" bestFit="1" customWidth="1"/>
    <col min="11" max="11" width="17.140625" customWidth="1"/>
    <col min="15" max="15" width="13.28515625" bestFit="1" customWidth="1"/>
    <col min="16" max="16" width="81.140625" bestFit="1" customWidth="1"/>
    <col min="20" max="20" width="10.85546875" bestFit="1" customWidth="1"/>
  </cols>
  <sheetData>
    <row r="1" spans="2:20" ht="16.5" thickBot="1" x14ac:dyDescent="0.3">
      <c r="O1" s="330" t="s">
        <v>572</v>
      </c>
      <c r="P1" s="331"/>
      <c r="Q1" s="331"/>
      <c r="R1" s="331"/>
      <c r="S1" s="331"/>
      <c r="T1" s="332"/>
    </row>
    <row r="2" spans="2:20" x14ac:dyDescent="0.25">
      <c r="O2" s="181"/>
      <c r="P2" s="182"/>
      <c r="Q2" s="182"/>
      <c r="R2" s="182"/>
      <c r="S2" s="182"/>
      <c r="T2" s="183"/>
    </row>
    <row r="3" spans="2:20" x14ac:dyDescent="0.25">
      <c r="B3" t="s">
        <v>262</v>
      </c>
      <c r="O3" s="291" t="s">
        <v>311</v>
      </c>
      <c r="P3" s="99" t="s">
        <v>290</v>
      </c>
      <c r="Q3" s="333" t="s">
        <v>291</v>
      </c>
      <c r="R3" s="334"/>
      <c r="S3" s="334"/>
      <c r="T3" s="335"/>
    </row>
    <row r="4" spans="2:20" ht="30" x14ac:dyDescent="0.25">
      <c r="B4" t="s">
        <v>258</v>
      </c>
      <c r="C4" t="s">
        <v>259</v>
      </c>
      <c r="H4" t="s">
        <v>261</v>
      </c>
      <c r="O4" s="292" t="s">
        <v>292</v>
      </c>
      <c r="P4" s="217" t="s">
        <v>293</v>
      </c>
      <c r="Q4" s="218" t="s">
        <v>294</v>
      </c>
      <c r="R4" s="218" t="s">
        <v>295</v>
      </c>
      <c r="S4" s="95" t="s">
        <v>296</v>
      </c>
      <c r="T4" s="293" t="s">
        <v>297</v>
      </c>
    </row>
    <row r="5" spans="2:20" x14ac:dyDescent="0.25">
      <c r="B5" t="s">
        <v>260</v>
      </c>
      <c r="C5" t="s">
        <v>323</v>
      </c>
      <c r="H5" t="s">
        <v>26</v>
      </c>
      <c r="O5" s="294" t="s">
        <v>298</v>
      </c>
      <c r="P5" s="99" t="s">
        <v>299</v>
      </c>
      <c r="Q5" s="96" t="s">
        <v>300</v>
      </c>
      <c r="R5" s="217">
        <v>1.1000000000000001</v>
      </c>
      <c r="S5" s="97">
        <f>(18+17+11)/3</f>
        <v>15.333333333333334</v>
      </c>
      <c r="T5" s="295">
        <f>R5*S5</f>
        <v>16.866666666666667</v>
      </c>
    </row>
    <row r="6" spans="2:20" x14ac:dyDescent="0.25">
      <c r="O6" s="292" t="s">
        <v>301</v>
      </c>
      <c r="P6" s="99" t="s">
        <v>302</v>
      </c>
      <c r="Q6" s="96" t="s">
        <v>303</v>
      </c>
      <c r="R6" s="98">
        <v>4</v>
      </c>
      <c r="S6" s="96">
        <v>2.31</v>
      </c>
      <c r="T6" s="295">
        <f>R6*S6</f>
        <v>9.24</v>
      </c>
    </row>
    <row r="7" spans="2:20" x14ac:dyDescent="0.25">
      <c r="B7" t="s">
        <v>263</v>
      </c>
      <c r="C7" t="s">
        <v>265</v>
      </c>
      <c r="O7" s="294" t="s">
        <v>304</v>
      </c>
      <c r="P7" s="99" t="s">
        <v>305</v>
      </c>
      <c r="Q7" s="96" t="s">
        <v>303</v>
      </c>
      <c r="R7" s="217">
        <v>0.38</v>
      </c>
      <c r="S7" s="97">
        <v>2.9</v>
      </c>
      <c r="T7" s="295">
        <f>R7*S7</f>
        <v>1.1019999999999999</v>
      </c>
    </row>
    <row r="8" spans="2:20" x14ac:dyDescent="0.25">
      <c r="B8" t="s">
        <v>258</v>
      </c>
      <c r="H8" t="s">
        <v>261</v>
      </c>
      <c r="I8" t="s">
        <v>268</v>
      </c>
      <c r="J8" t="s">
        <v>269</v>
      </c>
      <c r="K8" t="s">
        <v>267</v>
      </c>
      <c r="O8" s="294" t="s">
        <v>306</v>
      </c>
      <c r="P8" s="99" t="s">
        <v>307</v>
      </c>
      <c r="Q8" s="96" t="s">
        <v>308</v>
      </c>
      <c r="R8" s="217">
        <v>0.4</v>
      </c>
      <c r="S8" s="218">
        <v>11.79</v>
      </c>
      <c r="T8" s="295">
        <f>R8*S8</f>
        <v>4.7160000000000002</v>
      </c>
    </row>
    <row r="9" spans="2:20" x14ac:dyDescent="0.25">
      <c r="B9" t="s">
        <v>264</v>
      </c>
      <c r="C9" t="s">
        <v>266</v>
      </c>
      <c r="H9" t="s">
        <v>65</v>
      </c>
      <c r="I9">
        <v>2</v>
      </c>
      <c r="J9">
        <v>8.74</v>
      </c>
      <c r="K9">
        <f>I9*J9</f>
        <v>17.48</v>
      </c>
      <c r="O9" s="294" t="s">
        <v>309</v>
      </c>
      <c r="P9" s="99" t="s">
        <v>310</v>
      </c>
      <c r="Q9" s="96" t="s">
        <v>308</v>
      </c>
      <c r="R9" s="217">
        <v>0.4</v>
      </c>
      <c r="S9" s="218">
        <v>8.74</v>
      </c>
      <c r="T9" s="295">
        <f>R9*S9</f>
        <v>3.4960000000000004</v>
      </c>
    </row>
    <row r="10" spans="2:20" ht="15.75" thickBot="1" x14ac:dyDescent="0.3">
      <c r="O10" s="336"/>
      <c r="P10" s="337"/>
      <c r="Q10" s="337"/>
      <c r="R10" s="337"/>
      <c r="S10" s="338"/>
      <c r="T10" s="296">
        <f>SUM(T5:T9)</f>
        <v>35.420666666666669</v>
      </c>
    </row>
    <row r="11" spans="2:20" x14ac:dyDescent="0.25">
      <c r="B11" t="s">
        <v>270</v>
      </c>
    </row>
    <row r="12" spans="2:20" x14ac:dyDescent="0.25">
      <c r="B12" t="s">
        <v>271</v>
      </c>
      <c r="C12" t="s">
        <v>272</v>
      </c>
      <c r="E12" t="s">
        <v>273</v>
      </c>
      <c r="G12" t="s">
        <v>274</v>
      </c>
      <c r="I12" t="s">
        <v>275</v>
      </c>
      <c r="K12" t="s">
        <v>276</v>
      </c>
    </row>
    <row r="13" spans="2:20" x14ac:dyDescent="0.25">
      <c r="B13">
        <v>0</v>
      </c>
      <c r="C13">
        <v>0</v>
      </c>
      <c r="E13">
        <f>K9</f>
        <v>17.48</v>
      </c>
      <c r="G13">
        <v>0</v>
      </c>
      <c r="I13">
        <v>0</v>
      </c>
      <c r="K13">
        <f>B13+C13+E13+G13+I13</f>
        <v>17.48</v>
      </c>
    </row>
    <row r="16" spans="2:20" ht="15.75" thickBot="1" x14ac:dyDescent="0.3"/>
    <row r="17" spans="2:11" ht="15.75" customHeight="1" thickBot="1" x14ac:dyDescent="0.3">
      <c r="B17" s="330" t="s">
        <v>572</v>
      </c>
      <c r="C17" s="331"/>
      <c r="D17" s="331"/>
      <c r="E17" s="331"/>
      <c r="F17" s="331"/>
      <c r="G17" s="331"/>
      <c r="H17" s="331"/>
      <c r="I17" s="331"/>
      <c r="J17" s="331"/>
      <c r="K17" s="332"/>
    </row>
    <row r="18" spans="2:11" ht="15.75" thickBot="1" x14ac:dyDescent="0.3">
      <c r="B18" s="340"/>
      <c r="C18" s="341"/>
      <c r="D18" s="341"/>
      <c r="E18" s="341"/>
      <c r="F18" s="341"/>
      <c r="G18" s="341"/>
      <c r="H18" s="341"/>
      <c r="I18" s="341"/>
      <c r="J18" s="341"/>
      <c r="K18" s="342"/>
    </row>
    <row r="19" spans="2:11" x14ac:dyDescent="0.25">
      <c r="B19" s="287" t="s">
        <v>258</v>
      </c>
      <c r="C19" s="288" t="s">
        <v>259</v>
      </c>
      <c r="D19" s="288"/>
      <c r="E19" s="288"/>
      <c r="F19" s="288"/>
      <c r="G19" s="288"/>
      <c r="H19" s="288" t="s">
        <v>261</v>
      </c>
      <c r="I19" s="288"/>
      <c r="J19" s="288"/>
      <c r="K19" s="289"/>
    </row>
    <row r="20" spans="2:11" ht="31.5" customHeight="1" x14ac:dyDescent="0.25">
      <c r="B20" s="181" t="s">
        <v>260</v>
      </c>
      <c r="C20" s="339" t="s">
        <v>322</v>
      </c>
      <c r="D20" s="339"/>
      <c r="E20" s="339"/>
      <c r="F20" s="339"/>
      <c r="G20" s="339"/>
      <c r="H20" s="182" t="s">
        <v>26</v>
      </c>
      <c r="I20" s="182"/>
      <c r="J20" s="182"/>
      <c r="K20" s="183"/>
    </row>
    <row r="21" spans="2:11" x14ac:dyDescent="0.25">
      <c r="B21" s="181"/>
      <c r="C21" s="182"/>
      <c r="D21" s="182"/>
      <c r="E21" s="182"/>
      <c r="F21" s="182"/>
      <c r="G21" s="182"/>
      <c r="H21" s="182"/>
      <c r="I21" s="182"/>
      <c r="J21" s="182"/>
      <c r="K21" s="183"/>
    </row>
    <row r="22" spans="2:11" x14ac:dyDescent="0.25">
      <c r="B22" s="181" t="s">
        <v>329</v>
      </c>
      <c r="C22" s="182" t="s">
        <v>265</v>
      </c>
      <c r="D22" s="182"/>
      <c r="E22" s="182"/>
      <c r="F22" s="182"/>
      <c r="G22" s="182"/>
      <c r="H22" s="182"/>
      <c r="I22" s="182"/>
      <c r="J22" s="182"/>
      <c r="K22" s="183"/>
    </row>
    <row r="23" spans="2:11" x14ac:dyDescent="0.25">
      <c r="B23" s="181" t="s">
        <v>258</v>
      </c>
      <c r="C23" s="182"/>
      <c r="D23" s="182"/>
      <c r="E23" s="182"/>
      <c r="F23" s="182"/>
      <c r="G23" s="182"/>
      <c r="H23" s="182" t="s">
        <v>261</v>
      </c>
      <c r="I23" s="182" t="s">
        <v>268</v>
      </c>
      <c r="J23" s="182" t="s">
        <v>269</v>
      </c>
      <c r="K23" s="183" t="s">
        <v>267</v>
      </c>
    </row>
    <row r="24" spans="2:11" ht="30" customHeight="1" x14ac:dyDescent="0.25">
      <c r="B24" s="75" t="s">
        <v>127</v>
      </c>
      <c r="C24" s="339" t="s">
        <v>330</v>
      </c>
      <c r="D24" s="339"/>
      <c r="E24" s="339"/>
      <c r="F24" s="339"/>
      <c r="G24" s="339"/>
      <c r="H24" s="182" t="s">
        <v>105</v>
      </c>
      <c r="I24" s="182">
        <v>8.9999999999999993E-3</v>
      </c>
      <c r="J24" s="182">
        <v>59.9</v>
      </c>
      <c r="K24" s="183">
        <f>I24*J24</f>
        <v>0.53909999999999991</v>
      </c>
    </row>
    <row r="25" spans="2:11" x14ac:dyDescent="0.25">
      <c r="B25" s="75" t="s">
        <v>331</v>
      </c>
      <c r="C25" s="182" t="s">
        <v>124</v>
      </c>
      <c r="D25" s="182"/>
      <c r="E25" s="182"/>
      <c r="F25" s="182"/>
      <c r="G25" s="182"/>
      <c r="H25" s="182" t="s">
        <v>95</v>
      </c>
      <c r="I25" s="182">
        <v>2.8</v>
      </c>
      <c r="J25" s="182">
        <v>0.41</v>
      </c>
      <c r="K25" s="183">
        <f t="shared" ref="K25" si="0">I25*J25</f>
        <v>1.1479999999999999</v>
      </c>
    </row>
    <row r="26" spans="2:11" x14ac:dyDescent="0.25">
      <c r="B26" s="181" t="s">
        <v>327</v>
      </c>
      <c r="C26" s="182" t="s">
        <v>328</v>
      </c>
      <c r="D26" s="182"/>
      <c r="E26" s="182"/>
      <c r="F26" s="182"/>
      <c r="G26" s="182"/>
      <c r="H26" s="182" t="s">
        <v>308</v>
      </c>
      <c r="I26" s="182">
        <v>1.2</v>
      </c>
      <c r="J26" s="182">
        <v>11.79</v>
      </c>
      <c r="K26" s="183">
        <f>I26*J26</f>
        <v>14.147999999999998</v>
      </c>
    </row>
    <row r="27" spans="2:11" x14ac:dyDescent="0.25">
      <c r="B27" s="181" t="s">
        <v>264</v>
      </c>
      <c r="C27" s="182" t="s">
        <v>266</v>
      </c>
      <c r="D27" s="182"/>
      <c r="E27" s="182"/>
      <c r="F27" s="182"/>
      <c r="G27" s="182"/>
      <c r="H27" s="182" t="s">
        <v>308</v>
      </c>
      <c r="I27" s="182">
        <v>1.6</v>
      </c>
      <c r="J27" s="182">
        <v>8.74</v>
      </c>
      <c r="K27" s="183">
        <f>I27*J27</f>
        <v>13.984000000000002</v>
      </c>
    </row>
    <row r="28" spans="2:11" x14ac:dyDescent="0.25">
      <c r="B28" s="181"/>
      <c r="C28" s="182"/>
      <c r="D28" s="182"/>
      <c r="E28" s="182"/>
      <c r="F28" s="182"/>
      <c r="G28" s="182"/>
      <c r="H28" s="182"/>
      <c r="I28" s="182"/>
      <c r="J28" s="182"/>
      <c r="K28" s="183"/>
    </row>
    <row r="29" spans="2:11" x14ac:dyDescent="0.25">
      <c r="B29" s="181"/>
      <c r="C29" s="182"/>
      <c r="D29" s="182"/>
      <c r="E29" s="182"/>
      <c r="F29" s="182"/>
      <c r="G29" s="182"/>
      <c r="H29" s="182"/>
      <c r="I29" s="182"/>
      <c r="J29" s="182"/>
      <c r="K29" s="183"/>
    </row>
    <row r="30" spans="2:11" x14ac:dyDescent="0.25">
      <c r="B30" s="181"/>
      <c r="C30" s="182"/>
      <c r="D30" s="182"/>
      <c r="E30" s="182"/>
      <c r="F30" s="182"/>
      <c r="G30" s="182"/>
      <c r="H30" s="182"/>
      <c r="I30" s="182"/>
      <c r="J30" s="182"/>
      <c r="K30" s="271" t="s">
        <v>276</v>
      </c>
    </row>
    <row r="31" spans="2:11" ht="15.75" thickBot="1" x14ac:dyDescent="0.3">
      <c r="B31" s="190"/>
      <c r="C31" s="191"/>
      <c r="D31" s="191"/>
      <c r="E31" s="191"/>
      <c r="F31" s="191"/>
      <c r="G31" s="191"/>
      <c r="H31" s="191"/>
      <c r="I31" s="191"/>
      <c r="J31" s="191"/>
      <c r="K31" s="290">
        <f>ROUND(SUM(K24:K27),2)</f>
        <v>29.82</v>
      </c>
    </row>
  </sheetData>
  <mergeCells count="7">
    <mergeCell ref="O1:T1"/>
    <mergeCell ref="Q3:T3"/>
    <mergeCell ref="O10:S10"/>
    <mergeCell ref="C24:G24"/>
    <mergeCell ref="B18:K18"/>
    <mergeCell ref="C20:G20"/>
    <mergeCell ref="B17:K17"/>
  </mergeCells>
  <pageMargins left="0.511811024" right="0.511811024" top="0.78740157499999996" bottom="0.78740157499999996" header="0.31496062000000002" footer="0.31496062000000002"/>
  <pageSetup paperSize="9" scale="69" orientation="portrait" verticalDpi="0" r:id="rId1"/>
  <colBreaks count="1" manualBreakCount="1">
    <brk id="11"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9"/>
  <dimension ref="B2:H10"/>
  <sheetViews>
    <sheetView view="pageBreakPreview" zoomScaleNormal="100" zoomScaleSheetLayoutView="100" workbookViewId="0">
      <selection activeCell="B7" sqref="B7:G8"/>
    </sheetView>
  </sheetViews>
  <sheetFormatPr defaultRowHeight="15" x14ac:dyDescent="0.25"/>
  <cols>
    <col min="2" max="2" width="12.85546875" bestFit="1" customWidth="1"/>
    <col min="3" max="3" width="33" bestFit="1" customWidth="1"/>
    <col min="4" max="4" width="12.7109375" bestFit="1" customWidth="1"/>
    <col min="5" max="5" width="10.140625" bestFit="1" customWidth="1"/>
    <col min="6" max="6" width="10.28515625" bestFit="1" customWidth="1"/>
    <col min="7" max="7" width="10.5703125" bestFit="1" customWidth="1"/>
    <col min="8" max="8" width="0" hidden="1" customWidth="1"/>
  </cols>
  <sheetData>
    <row r="2" spans="2:8" ht="15.75" thickBot="1" x14ac:dyDescent="0.3"/>
    <row r="3" spans="2:8" ht="16.5" thickBot="1" x14ac:dyDescent="0.3">
      <c r="B3" s="383" t="s">
        <v>60</v>
      </c>
      <c r="C3" s="384"/>
      <c r="D3" s="384"/>
      <c r="E3" s="384"/>
      <c r="F3" s="384"/>
      <c r="G3" s="385"/>
    </row>
    <row r="4" spans="2:8" ht="58.5" customHeight="1" thickBot="1" x14ac:dyDescent="0.3">
      <c r="B4" s="380" t="s">
        <v>147</v>
      </c>
      <c r="C4" s="381"/>
      <c r="D4" s="381"/>
      <c r="E4" s="381"/>
      <c r="F4" s="381"/>
      <c r="G4" s="382"/>
    </row>
    <row r="5" spans="2:8" ht="15.75" thickBot="1" x14ac:dyDescent="0.3">
      <c r="B5" s="12" t="s">
        <v>34</v>
      </c>
      <c r="C5" s="13" t="s">
        <v>28</v>
      </c>
      <c r="D5" s="71" t="s">
        <v>29</v>
      </c>
      <c r="E5" s="71" t="s">
        <v>30</v>
      </c>
      <c r="F5" s="71" t="s">
        <v>31</v>
      </c>
      <c r="G5" s="72" t="s">
        <v>32</v>
      </c>
    </row>
    <row r="6" spans="2:8" x14ac:dyDescent="0.25">
      <c r="B6" s="10" t="s">
        <v>190</v>
      </c>
      <c r="C6" s="11" t="s">
        <v>148</v>
      </c>
      <c r="D6" s="70" t="s">
        <v>87</v>
      </c>
      <c r="E6" s="61">
        <v>0.5</v>
      </c>
      <c r="F6" s="61">
        <v>10.4</v>
      </c>
      <c r="G6" s="74">
        <f>E6*F6</f>
        <v>5.2</v>
      </c>
      <c r="H6" s="61">
        <v>14.52</v>
      </c>
    </row>
    <row r="7" spans="2:8" x14ac:dyDescent="0.25">
      <c r="B7" s="93" t="s">
        <v>191</v>
      </c>
      <c r="C7" s="5" t="s">
        <v>193</v>
      </c>
      <c r="D7" s="15" t="s">
        <v>87</v>
      </c>
      <c r="E7" s="1">
        <v>0.15</v>
      </c>
      <c r="F7" s="61">
        <v>5.0599999999999996</v>
      </c>
      <c r="G7" s="9">
        <f>ROUND(E7*F7,2)</f>
        <v>0.76</v>
      </c>
      <c r="H7" s="1">
        <v>4.05</v>
      </c>
    </row>
    <row r="8" spans="2:8" ht="22.5" customHeight="1" thickBot="1" x14ac:dyDescent="0.3">
      <c r="B8" s="92" t="s">
        <v>192</v>
      </c>
      <c r="C8" s="5" t="s">
        <v>194</v>
      </c>
      <c r="D8" s="15" t="s">
        <v>87</v>
      </c>
      <c r="E8" s="1">
        <v>2</v>
      </c>
      <c r="F8" s="61">
        <v>3.41</v>
      </c>
      <c r="G8" s="9">
        <f>ROUND(E8*F8,2)</f>
        <v>6.82</v>
      </c>
      <c r="H8" s="1">
        <v>1.83</v>
      </c>
    </row>
    <row r="9" spans="2:8" x14ac:dyDescent="0.25">
      <c r="B9" s="16" t="s">
        <v>41</v>
      </c>
      <c r="C9" s="24" t="s">
        <v>42</v>
      </c>
      <c r="D9" s="17" t="s">
        <v>43</v>
      </c>
      <c r="E9" s="17" t="s">
        <v>44</v>
      </c>
      <c r="F9" s="20" t="s">
        <v>45</v>
      </c>
      <c r="G9" s="22" t="s">
        <v>46</v>
      </c>
    </row>
    <row r="10" spans="2:8" ht="15.75" thickBot="1" x14ac:dyDescent="0.3">
      <c r="B10" s="18">
        <v>0</v>
      </c>
      <c r="C10" s="76">
        <v>0</v>
      </c>
      <c r="D10" s="19">
        <f>SUM(G7:G7)</f>
        <v>0.76</v>
      </c>
      <c r="E10" s="19">
        <f>SUM(G8:G8)</f>
        <v>6.82</v>
      </c>
      <c r="F10" s="21">
        <v>0</v>
      </c>
      <c r="G10" s="77">
        <f>ROUND(SUM(G6:G8),2)</f>
        <v>12.78</v>
      </c>
    </row>
  </sheetData>
  <mergeCells count="2">
    <mergeCell ref="B3:G3"/>
    <mergeCell ref="B4:G4"/>
  </mergeCells>
  <pageMargins left="1.1811023622047245" right="0.78740157480314965" top="0.78740157480314965" bottom="0.78740157480314965" header="0" footer="0"/>
  <pageSetup paperSize="9" scale="85" orientation="portrait"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0"/>
  <dimension ref="B2:H40"/>
  <sheetViews>
    <sheetView view="pageBreakPreview" zoomScaleNormal="100" zoomScaleSheetLayoutView="100" workbookViewId="0">
      <selection activeCell="E36" sqref="E36"/>
    </sheetView>
  </sheetViews>
  <sheetFormatPr defaultRowHeight="15" x14ac:dyDescent="0.25"/>
  <cols>
    <col min="2" max="2" width="12.85546875" bestFit="1" customWidth="1"/>
    <col min="3" max="3" width="44.85546875" customWidth="1"/>
    <col min="4" max="4" width="12.7109375" bestFit="1" customWidth="1"/>
    <col min="5" max="5" width="10.140625" bestFit="1" customWidth="1"/>
    <col min="6" max="6" width="10.28515625" bestFit="1" customWidth="1"/>
    <col min="7" max="7" width="15.5703125" bestFit="1" customWidth="1"/>
    <col min="8" max="8" width="0" hidden="1" customWidth="1"/>
  </cols>
  <sheetData>
    <row r="2" spans="2:7" ht="15.75" hidden="1" thickBot="1" x14ac:dyDescent="0.3"/>
    <row r="3" spans="2:7" ht="16.5" hidden="1" thickBot="1" x14ac:dyDescent="0.3">
      <c r="B3" s="383" t="s">
        <v>60</v>
      </c>
      <c r="C3" s="384"/>
      <c r="D3" s="384"/>
      <c r="E3" s="384"/>
      <c r="F3" s="384"/>
      <c r="G3" s="385"/>
    </row>
    <row r="4" spans="2:7" ht="60" hidden="1" customHeight="1" thickBot="1" x14ac:dyDescent="0.3">
      <c r="B4" s="380" t="s">
        <v>78</v>
      </c>
      <c r="C4" s="381"/>
      <c r="D4" s="381"/>
      <c r="E4" s="381"/>
      <c r="F4" s="381"/>
      <c r="G4" s="382"/>
    </row>
    <row r="5" spans="2:7" ht="15.75" hidden="1" thickBot="1" x14ac:dyDescent="0.3">
      <c r="B5" s="12" t="s">
        <v>34</v>
      </c>
      <c r="C5" s="13" t="s">
        <v>28</v>
      </c>
      <c r="D5" s="71" t="s">
        <v>29</v>
      </c>
      <c r="E5" s="71" t="s">
        <v>30</v>
      </c>
      <c r="F5" s="71" t="s">
        <v>31</v>
      </c>
      <c r="G5" s="72" t="s">
        <v>32</v>
      </c>
    </row>
    <row r="6" spans="2:7" hidden="1" x14ac:dyDescent="0.25">
      <c r="B6" s="10" t="s">
        <v>0</v>
      </c>
      <c r="C6" s="11" t="s">
        <v>88</v>
      </c>
      <c r="D6" s="70" t="s">
        <v>29</v>
      </c>
      <c r="E6" s="8">
        <v>1</v>
      </c>
      <c r="F6" s="8">
        <v>107.5</v>
      </c>
      <c r="G6" s="9">
        <v>107.5</v>
      </c>
    </row>
    <row r="7" spans="2:7" hidden="1" x14ac:dyDescent="0.25">
      <c r="B7" s="6" t="s">
        <v>83</v>
      </c>
      <c r="C7" s="5" t="s">
        <v>79</v>
      </c>
      <c r="D7" s="15" t="s">
        <v>87</v>
      </c>
      <c r="E7" s="1">
        <v>0.25</v>
      </c>
      <c r="F7" s="1">
        <v>4.05</v>
      </c>
      <c r="G7" s="9">
        <f>ROUND(E7*F7,2)</f>
        <v>1.01</v>
      </c>
    </row>
    <row r="8" spans="2:7" hidden="1" x14ac:dyDescent="0.25">
      <c r="B8" s="7" t="s">
        <v>84</v>
      </c>
      <c r="C8" s="5" t="s">
        <v>80</v>
      </c>
      <c r="D8" s="15" t="s">
        <v>87</v>
      </c>
      <c r="E8" s="1">
        <v>0.5</v>
      </c>
      <c r="F8" s="1">
        <v>4.05</v>
      </c>
      <c r="G8" s="9">
        <f>ROUND(E8*F8,2)</f>
        <v>2.0299999999999998</v>
      </c>
    </row>
    <row r="9" spans="2:7" hidden="1" x14ac:dyDescent="0.25">
      <c r="B9" s="6" t="s">
        <v>85</v>
      </c>
      <c r="C9" s="5" t="s">
        <v>81</v>
      </c>
      <c r="D9" s="15" t="s">
        <v>87</v>
      </c>
      <c r="E9" s="1">
        <v>0.5</v>
      </c>
      <c r="F9" s="1">
        <v>1.83</v>
      </c>
      <c r="G9" s="9">
        <f>ROUND(E9*F9,2)</f>
        <v>0.92</v>
      </c>
    </row>
    <row r="10" spans="2:7" ht="15.75" hidden="1" thickBot="1" x14ac:dyDescent="0.3">
      <c r="B10" s="6" t="s">
        <v>86</v>
      </c>
      <c r="C10" s="4" t="s">
        <v>82</v>
      </c>
      <c r="D10" s="15" t="s">
        <v>87</v>
      </c>
      <c r="E10" s="1">
        <v>0.25</v>
      </c>
      <c r="F10" s="1">
        <v>2.0099999999999998</v>
      </c>
      <c r="G10" s="9">
        <f>ROUND(E10*F10,2)</f>
        <v>0.5</v>
      </c>
    </row>
    <row r="11" spans="2:7" hidden="1" x14ac:dyDescent="0.25">
      <c r="B11" s="16" t="s">
        <v>41</v>
      </c>
      <c r="C11" s="24" t="s">
        <v>42</v>
      </c>
      <c r="D11" s="17" t="s">
        <v>43</v>
      </c>
      <c r="E11" s="17" t="s">
        <v>44</v>
      </c>
      <c r="F11" s="20" t="s">
        <v>45</v>
      </c>
      <c r="G11" s="22" t="s">
        <v>46</v>
      </c>
    </row>
    <row r="12" spans="2:7" ht="15.75" hidden="1" thickBot="1" x14ac:dyDescent="0.3">
      <c r="B12" s="18">
        <v>0</v>
      </c>
      <c r="C12" s="19">
        <f>G6</f>
        <v>107.5</v>
      </c>
      <c r="D12" s="19">
        <f>SUM(G7:G8)</f>
        <v>3.04</v>
      </c>
      <c r="E12" s="19">
        <f>SUM(G9:G10)</f>
        <v>1.42</v>
      </c>
      <c r="F12" s="21">
        <v>0</v>
      </c>
      <c r="G12" s="23">
        <f>SUM(G6:G10)</f>
        <v>111.96000000000001</v>
      </c>
    </row>
    <row r="13" spans="2:7" hidden="1" x14ac:dyDescent="0.25"/>
    <row r="14" spans="2:7" ht="15.75" hidden="1" thickBot="1" x14ac:dyDescent="0.3"/>
    <row r="15" spans="2:7" ht="16.5" hidden="1" thickBot="1" x14ac:dyDescent="0.3">
      <c r="B15" s="383" t="s">
        <v>60</v>
      </c>
      <c r="C15" s="384"/>
      <c r="D15" s="384"/>
      <c r="E15" s="384"/>
      <c r="F15" s="384"/>
      <c r="G15" s="385"/>
    </row>
    <row r="16" spans="2:7" ht="61.5" hidden="1" customHeight="1" thickBot="1" x14ac:dyDescent="0.3">
      <c r="B16" s="380" t="s">
        <v>89</v>
      </c>
      <c r="C16" s="381"/>
      <c r="D16" s="381"/>
      <c r="E16" s="381"/>
      <c r="F16" s="381"/>
      <c r="G16" s="382"/>
    </row>
    <row r="17" spans="2:7" ht="15.75" hidden="1" thickBot="1" x14ac:dyDescent="0.3">
      <c r="B17" s="12" t="s">
        <v>34</v>
      </c>
      <c r="C17" s="13" t="s">
        <v>28</v>
      </c>
      <c r="D17" s="71" t="s">
        <v>29</v>
      </c>
      <c r="E17" s="71" t="s">
        <v>30</v>
      </c>
      <c r="F17" s="71" t="s">
        <v>31</v>
      </c>
      <c r="G17" s="72" t="s">
        <v>32</v>
      </c>
    </row>
    <row r="18" spans="2:7" ht="15.75" hidden="1" customHeight="1" x14ac:dyDescent="0.25">
      <c r="B18" s="10" t="s">
        <v>0</v>
      </c>
      <c r="C18" s="11" t="s">
        <v>90</v>
      </c>
      <c r="D18" s="70" t="s">
        <v>29</v>
      </c>
      <c r="E18" s="8">
        <v>1</v>
      </c>
      <c r="F18" s="8">
        <v>107.5</v>
      </c>
      <c r="G18" s="9">
        <v>302.57</v>
      </c>
    </row>
    <row r="19" spans="2:7" hidden="1" x14ac:dyDescent="0.25">
      <c r="B19" s="6" t="s">
        <v>83</v>
      </c>
      <c r="C19" s="5" t="s">
        <v>79</v>
      </c>
      <c r="D19" s="15" t="s">
        <v>87</v>
      </c>
      <c r="E19" s="1">
        <v>0.25</v>
      </c>
      <c r="F19" s="1">
        <v>4.05</v>
      </c>
      <c r="G19" s="9">
        <f>ROUND(E19*F19,2)</f>
        <v>1.01</v>
      </c>
    </row>
    <row r="20" spans="2:7" hidden="1" x14ac:dyDescent="0.25">
      <c r="B20" s="7" t="s">
        <v>84</v>
      </c>
      <c r="C20" s="5" t="s">
        <v>80</v>
      </c>
      <c r="D20" s="15" t="s">
        <v>87</v>
      </c>
      <c r="E20" s="1">
        <v>0.5</v>
      </c>
      <c r="F20" s="1">
        <v>4.05</v>
      </c>
      <c r="G20" s="9">
        <f>ROUND(E20*F20,2)</f>
        <v>2.0299999999999998</v>
      </c>
    </row>
    <row r="21" spans="2:7" hidden="1" x14ac:dyDescent="0.25">
      <c r="B21" s="6" t="s">
        <v>85</v>
      </c>
      <c r="C21" s="5" t="s">
        <v>81</v>
      </c>
      <c r="D21" s="15" t="s">
        <v>87</v>
      </c>
      <c r="E21" s="1">
        <v>0.5</v>
      </c>
      <c r="F21" s="1">
        <v>1.83</v>
      </c>
      <c r="G21" s="9">
        <f>ROUND(E21*F21,2)</f>
        <v>0.92</v>
      </c>
    </row>
    <row r="22" spans="2:7" ht="15.75" hidden="1" thickBot="1" x14ac:dyDescent="0.3">
      <c r="B22" s="6" t="s">
        <v>86</v>
      </c>
      <c r="C22" s="4" t="s">
        <v>82</v>
      </c>
      <c r="D22" s="15" t="s">
        <v>87</v>
      </c>
      <c r="E22" s="1">
        <v>0.25</v>
      </c>
      <c r="F22" s="1">
        <v>2.0099999999999998</v>
      </c>
      <c r="G22" s="9">
        <f>ROUND(E22*F22,2)</f>
        <v>0.5</v>
      </c>
    </row>
    <row r="23" spans="2:7" hidden="1" x14ac:dyDescent="0.25">
      <c r="B23" s="16" t="s">
        <v>41</v>
      </c>
      <c r="C23" s="24" t="s">
        <v>42</v>
      </c>
      <c r="D23" s="17" t="s">
        <v>43</v>
      </c>
      <c r="E23" s="17" t="s">
        <v>44</v>
      </c>
      <c r="F23" s="20" t="s">
        <v>45</v>
      </c>
      <c r="G23" s="22" t="s">
        <v>46</v>
      </c>
    </row>
    <row r="24" spans="2:7" ht="15.75" hidden="1" thickBot="1" x14ac:dyDescent="0.3">
      <c r="B24" s="18">
        <v>0</v>
      </c>
      <c r="C24" s="19">
        <f>G18</f>
        <v>302.57</v>
      </c>
      <c r="D24" s="19">
        <f>SUM(G19:G20)</f>
        <v>3.04</v>
      </c>
      <c r="E24" s="19">
        <f>SUM(G21:G22)</f>
        <v>1.42</v>
      </c>
      <c r="F24" s="21">
        <v>0</v>
      </c>
      <c r="G24" s="23">
        <f>SUM(G18:G22)</f>
        <v>307.02999999999997</v>
      </c>
    </row>
    <row r="25" spans="2:7" hidden="1" x14ac:dyDescent="0.25"/>
    <row r="26" spans="2:7" hidden="1" x14ac:dyDescent="0.25"/>
    <row r="27" spans="2:7" hidden="1" x14ac:dyDescent="0.25"/>
    <row r="28" spans="2:7" hidden="1" x14ac:dyDescent="0.25"/>
    <row r="29" spans="2:7" hidden="1" x14ac:dyDescent="0.25"/>
    <row r="30" spans="2:7" ht="15.75" thickBot="1" x14ac:dyDescent="0.3"/>
    <row r="31" spans="2:7" ht="16.5" thickBot="1" x14ac:dyDescent="0.3">
      <c r="B31" s="383" t="s">
        <v>60</v>
      </c>
      <c r="C31" s="384"/>
      <c r="D31" s="384"/>
      <c r="E31" s="384"/>
      <c r="F31" s="384"/>
      <c r="G31" s="385"/>
    </row>
    <row r="32" spans="2:7" ht="44.25" customHeight="1" thickBot="1" x14ac:dyDescent="0.3">
      <c r="B32" s="380" t="s">
        <v>149</v>
      </c>
      <c r="C32" s="381"/>
      <c r="D32" s="381"/>
      <c r="E32" s="381"/>
      <c r="F32" s="381"/>
      <c r="G32" s="382"/>
    </row>
    <row r="33" spans="2:8" ht="15.75" thickBot="1" x14ac:dyDescent="0.3">
      <c r="B33" s="12" t="s">
        <v>34</v>
      </c>
      <c r="C33" s="13" t="s">
        <v>28</v>
      </c>
      <c r="D33" s="71" t="s">
        <v>29</v>
      </c>
      <c r="E33" s="71" t="s">
        <v>30</v>
      </c>
      <c r="F33" s="71" t="s">
        <v>31</v>
      </c>
      <c r="G33" s="72" t="s">
        <v>32</v>
      </c>
    </row>
    <row r="34" spans="2:8" x14ac:dyDescent="0.25">
      <c r="B34" s="10" t="s">
        <v>190</v>
      </c>
      <c r="C34" s="11" t="s">
        <v>195</v>
      </c>
      <c r="D34" s="70" t="s">
        <v>65</v>
      </c>
      <c r="E34" s="61">
        <v>1</v>
      </c>
      <c r="F34" s="85">
        <v>28.7</v>
      </c>
      <c r="G34" s="86">
        <f>E34*F34</f>
        <v>28.7</v>
      </c>
      <c r="H34" s="8">
        <v>1.82</v>
      </c>
    </row>
    <row r="35" spans="2:8" x14ac:dyDescent="0.25">
      <c r="B35" s="6" t="s">
        <v>125</v>
      </c>
      <c r="C35" s="5" t="s">
        <v>124</v>
      </c>
      <c r="D35" s="15" t="s">
        <v>95</v>
      </c>
      <c r="E35" s="2">
        <v>3.2</v>
      </c>
      <c r="F35" s="85">
        <f>H35*0.97</f>
        <v>0.37830000000000003</v>
      </c>
      <c r="G35" s="29">
        <f>ROUND(E35*F35,2)</f>
        <v>1.21</v>
      </c>
      <c r="H35" s="1">
        <v>0.39</v>
      </c>
    </row>
    <row r="36" spans="2:8" x14ac:dyDescent="0.25">
      <c r="B36" s="6" t="s">
        <v>127</v>
      </c>
      <c r="C36" s="5" t="s">
        <v>120</v>
      </c>
      <c r="D36" s="15" t="s">
        <v>105</v>
      </c>
      <c r="E36" s="1">
        <v>5.0000000000000001E-3</v>
      </c>
      <c r="F36" s="85">
        <f>H36*0.97</f>
        <v>58.199999999999996</v>
      </c>
      <c r="G36" s="29">
        <f>ROUND(E36*F36,2)</f>
        <v>0.28999999999999998</v>
      </c>
      <c r="H36" s="1">
        <v>60</v>
      </c>
    </row>
    <row r="37" spans="2:8" x14ac:dyDescent="0.25">
      <c r="B37" s="93" t="s">
        <v>191</v>
      </c>
      <c r="C37" s="5" t="s">
        <v>193</v>
      </c>
      <c r="D37" s="15" t="s">
        <v>87</v>
      </c>
      <c r="E37" s="1">
        <v>0.5</v>
      </c>
      <c r="F37" s="61">
        <v>5.0599999999999996</v>
      </c>
      <c r="G37" s="9">
        <f>ROUND(E37*F37,2)</f>
        <v>2.5299999999999998</v>
      </c>
      <c r="H37" s="1">
        <v>1.83</v>
      </c>
    </row>
    <row r="38" spans="2:8" ht="15.75" thickBot="1" x14ac:dyDescent="0.3">
      <c r="B38" s="92" t="s">
        <v>192</v>
      </c>
      <c r="C38" s="5" t="s">
        <v>194</v>
      </c>
      <c r="D38" s="15" t="s">
        <v>87</v>
      </c>
      <c r="E38" s="1">
        <v>2</v>
      </c>
      <c r="F38" s="61">
        <v>3.41</v>
      </c>
      <c r="G38" s="9">
        <f>ROUND(E38*F38,2)</f>
        <v>6.82</v>
      </c>
      <c r="H38" s="1">
        <v>1.78</v>
      </c>
    </row>
    <row r="39" spans="2:8" x14ac:dyDescent="0.25">
      <c r="B39" s="16" t="s">
        <v>41</v>
      </c>
      <c r="C39" s="24" t="s">
        <v>42</v>
      </c>
      <c r="D39" s="17" t="s">
        <v>43</v>
      </c>
      <c r="E39" s="17" t="s">
        <v>44</v>
      </c>
      <c r="F39" s="20" t="s">
        <v>45</v>
      </c>
      <c r="G39" s="22" t="s">
        <v>46</v>
      </c>
    </row>
    <row r="40" spans="2:8" ht="15.75" thickBot="1" x14ac:dyDescent="0.3">
      <c r="B40" s="18">
        <v>0</v>
      </c>
      <c r="C40" s="94">
        <f>G34+G35+G36</f>
        <v>30.2</v>
      </c>
      <c r="D40" s="19">
        <f>G37+G38</f>
        <v>9.35</v>
      </c>
      <c r="E40" s="19">
        <f>SUM(G37:G38)</f>
        <v>9.35</v>
      </c>
      <c r="F40" s="21">
        <v>0</v>
      </c>
      <c r="G40" s="87">
        <f>SUM(G34:G38)+0.01</f>
        <v>39.559999999999995</v>
      </c>
    </row>
  </sheetData>
  <mergeCells count="6">
    <mergeCell ref="B32:G32"/>
    <mergeCell ref="B3:G3"/>
    <mergeCell ref="B4:G4"/>
    <mergeCell ref="B15:G15"/>
    <mergeCell ref="B16:G16"/>
    <mergeCell ref="B31:G31"/>
  </mergeCells>
  <pageMargins left="1.1811023622047245" right="0.78740157480314965" top="0.78740157480314965" bottom="0.78740157480314965" header="0" footer="0"/>
  <pageSetup paperSize="9" scale="75" orientation="portrait"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1"/>
  <dimension ref="B2:H43"/>
  <sheetViews>
    <sheetView view="pageBreakPreview" zoomScaleNormal="100" zoomScaleSheetLayoutView="100" workbookViewId="0">
      <selection activeCell="C40" sqref="C40"/>
    </sheetView>
  </sheetViews>
  <sheetFormatPr defaultRowHeight="15" x14ac:dyDescent="0.25"/>
  <cols>
    <col min="2" max="2" width="12.85546875" bestFit="1" customWidth="1"/>
    <col min="3" max="3" width="44.85546875" customWidth="1"/>
    <col min="4" max="4" width="12.7109375" bestFit="1" customWidth="1"/>
    <col min="5" max="5" width="10.140625" bestFit="1" customWidth="1"/>
    <col min="6" max="6" width="10.28515625" bestFit="1" customWidth="1"/>
    <col min="7" max="7" width="15.5703125" bestFit="1" customWidth="1"/>
    <col min="8" max="8" width="0" hidden="1" customWidth="1"/>
  </cols>
  <sheetData>
    <row r="2" spans="2:7" ht="15.75" hidden="1" thickBot="1" x14ac:dyDescent="0.3"/>
    <row r="3" spans="2:7" ht="16.5" hidden="1" thickBot="1" x14ac:dyDescent="0.3">
      <c r="B3" s="383" t="s">
        <v>60</v>
      </c>
      <c r="C3" s="384"/>
      <c r="D3" s="384"/>
      <c r="E3" s="384"/>
      <c r="F3" s="384"/>
      <c r="G3" s="385"/>
    </row>
    <row r="4" spans="2:7" ht="60" hidden="1" customHeight="1" thickBot="1" x14ac:dyDescent="0.3">
      <c r="B4" s="380" t="s">
        <v>78</v>
      </c>
      <c r="C4" s="381"/>
      <c r="D4" s="381"/>
      <c r="E4" s="381"/>
      <c r="F4" s="381"/>
      <c r="G4" s="382"/>
    </row>
    <row r="5" spans="2:7" ht="15.75" hidden="1" thickBot="1" x14ac:dyDescent="0.3">
      <c r="B5" s="12" t="s">
        <v>34</v>
      </c>
      <c r="C5" s="13" t="s">
        <v>28</v>
      </c>
      <c r="D5" s="71" t="s">
        <v>29</v>
      </c>
      <c r="E5" s="71" t="s">
        <v>30</v>
      </c>
      <c r="F5" s="71" t="s">
        <v>31</v>
      </c>
      <c r="G5" s="72" t="s">
        <v>32</v>
      </c>
    </row>
    <row r="6" spans="2:7" hidden="1" x14ac:dyDescent="0.25">
      <c r="B6" s="10" t="s">
        <v>0</v>
      </c>
      <c r="C6" s="11" t="s">
        <v>88</v>
      </c>
      <c r="D6" s="70" t="s">
        <v>29</v>
      </c>
      <c r="E6" s="8">
        <v>1</v>
      </c>
      <c r="F6" s="8">
        <v>107.5</v>
      </c>
      <c r="G6" s="9">
        <v>107.5</v>
      </c>
    </row>
    <row r="7" spans="2:7" hidden="1" x14ac:dyDescent="0.25">
      <c r="B7" s="6" t="s">
        <v>83</v>
      </c>
      <c r="C7" s="5" t="s">
        <v>79</v>
      </c>
      <c r="D7" s="15" t="s">
        <v>87</v>
      </c>
      <c r="E7" s="1">
        <v>0.25</v>
      </c>
      <c r="F7" s="1">
        <v>4.05</v>
      </c>
      <c r="G7" s="9">
        <f>ROUND(E7*F7,2)</f>
        <v>1.01</v>
      </c>
    </row>
    <row r="8" spans="2:7" hidden="1" x14ac:dyDescent="0.25">
      <c r="B8" s="7" t="s">
        <v>84</v>
      </c>
      <c r="C8" s="5" t="s">
        <v>80</v>
      </c>
      <c r="D8" s="15" t="s">
        <v>87</v>
      </c>
      <c r="E8" s="1">
        <v>0.5</v>
      </c>
      <c r="F8" s="1">
        <v>4.05</v>
      </c>
      <c r="G8" s="9">
        <f>ROUND(E8*F8,2)</f>
        <v>2.0299999999999998</v>
      </c>
    </row>
    <row r="9" spans="2:7" hidden="1" x14ac:dyDescent="0.25">
      <c r="B9" s="6" t="s">
        <v>85</v>
      </c>
      <c r="C9" s="5" t="s">
        <v>81</v>
      </c>
      <c r="D9" s="15" t="s">
        <v>87</v>
      </c>
      <c r="E9" s="1">
        <v>0.5</v>
      </c>
      <c r="F9" s="1">
        <v>1.83</v>
      </c>
      <c r="G9" s="9">
        <f>ROUND(E9*F9,2)</f>
        <v>0.92</v>
      </c>
    </row>
    <row r="10" spans="2:7" ht="15.75" hidden="1" thickBot="1" x14ac:dyDescent="0.3">
      <c r="B10" s="6" t="s">
        <v>86</v>
      </c>
      <c r="C10" s="4" t="s">
        <v>82</v>
      </c>
      <c r="D10" s="15" t="s">
        <v>87</v>
      </c>
      <c r="E10" s="1">
        <v>0.25</v>
      </c>
      <c r="F10" s="1">
        <v>2.0099999999999998</v>
      </c>
      <c r="G10" s="9">
        <f>ROUND(E10*F10,2)</f>
        <v>0.5</v>
      </c>
    </row>
    <row r="11" spans="2:7" hidden="1" x14ac:dyDescent="0.25">
      <c r="B11" s="16" t="s">
        <v>41</v>
      </c>
      <c r="C11" s="24" t="s">
        <v>42</v>
      </c>
      <c r="D11" s="17" t="s">
        <v>43</v>
      </c>
      <c r="E11" s="17" t="s">
        <v>44</v>
      </c>
      <c r="F11" s="20" t="s">
        <v>45</v>
      </c>
      <c r="G11" s="22" t="s">
        <v>46</v>
      </c>
    </row>
    <row r="12" spans="2:7" ht="15.75" hidden="1" thickBot="1" x14ac:dyDescent="0.3">
      <c r="B12" s="18">
        <v>0</v>
      </c>
      <c r="C12" s="19">
        <f>G6</f>
        <v>107.5</v>
      </c>
      <c r="D12" s="19">
        <f>SUM(G7:G8)</f>
        <v>3.04</v>
      </c>
      <c r="E12" s="19">
        <f>SUM(G9:G10)</f>
        <v>1.42</v>
      </c>
      <c r="F12" s="21">
        <v>0</v>
      </c>
      <c r="G12" s="23">
        <f>SUM(G6:G10)</f>
        <v>111.96000000000001</v>
      </c>
    </row>
    <row r="13" spans="2:7" hidden="1" x14ac:dyDescent="0.25"/>
    <row r="14" spans="2:7" ht="15.75" hidden="1" thickBot="1" x14ac:dyDescent="0.3"/>
    <row r="15" spans="2:7" ht="16.5" hidden="1" thickBot="1" x14ac:dyDescent="0.3">
      <c r="B15" s="383" t="s">
        <v>60</v>
      </c>
      <c r="C15" s="384"/>
      <c r="D15" s="384"/>
      <c r="E15" s="384"/>
      <c r="F15" s="384"/>
      <c r="G15" s="385"/>
    </row>
    <row r="16" spans="2:7" ht="61.5" hidden="1" customHeight="1" thickBot="1" x14ac:dyDescent="0.3">
      <c r="B16" s="380" t="s">
        <v>89</v>
      </c>
      <c r="C16" s="381"/>
      <c r="D16" s="381"/>
      <c r="E16" s="381"/>
      <c r="F16" s="381"/>
      <c r="G16" s="382"/>
    </row>
    <row r="17" spans="2:7" ht="15.75" hidden="1" thickBot="1" x14ac:dyDescent="0.3">
      <c r="B17" s="12" t="s">
        <v>34</v>
      </c>
      <c r="C17" s="13" t="s">
        <v>28</v>
      </c>
      <c r="D17" s="71" t="s">
        <v>29</v>
      </c>
      <c r="E17" s="71" t="s">
        <v>30</v>
      </c>
      <c r="F17" s="71" t="s">
        <v>31</v>
      </c>
      <c r="G17" s="72" t="s">
        <v>32</v>
      </c>
    </row>
    <row r="18" spans="2:7" ht="15.75" hidden="1" customHeight="1" x14ac:dyDescent="0.25">
      <c r="B18" s="10" t="s">
        <v>0</v>
      </c>
      <c r="C18" s="11" t="s">
        <v>90</v>
      </c>
      <c r="D18" s="70" t="s">
        <v>29</v>
      </c>
      <c r="E18" s="8">
        <v>1</v>
      </c>
      <c r="F18" s="8">
        <v>107.5</v>
      </c>
      <c r="G18" s="9">
        <v>302.57</v>
      </c>
    </row>
    <row r="19" spans="2:7" hidden="1" x14ac:dyDescent="0.25">
      <c r="B19" s="6" t="s">
        <v>83</v>
      </c>
      <c r="C19" s="5" t="s">
        <v>79</v>
      </c>
      <c r="D19" s="15" t="s">
        <v>87</v>
      </c>
      <c r="E19" s="1">
        <v>0.25</v>
      </c>
      <c r="F19" s="1">
        <v>4.05</v>
      </c>
      <c r="G19" s="9">
        <f>ROUND(E19*F19,2)</f>
        <v>1.01</v>
      </c>
    </row>
    <row r="20" spans="2:7" hidden="1" x14ac:dyDescent="0.25">
      <c r="B20" s="7" t="s">
        <v>84</v>
      </c>
      <c r="C20" s="5" t="s">
        <v>80</v>
      </c>
      <c r="D20" s="15" t="s">
        <v>87</v>
      </c>
      <c r="E20" s="1">
        <v>0.5</v>
      </c>
      <c r="F20" s="1">
        <v>4.05</v>
      </c>
      <c r="G20" s="9">
        <f>ROUND(E20*F20,2)</f>
        <v>2.0299999999999998</v>
      </c>
    </row>
    <row r="21" spans="2:7" hidden="1" x14ac:dyDescent="0.25">
      <c r="B21" s="6" t="s">
        <v>85</v>
      </c>
      <c r="C21" s="5" t="s">
        <v>81</v>
      </c>
      <c r="D21" s="15" t="s">
        <v>87</v>
      </c>
      <c r="E21" s="1">
        <v>0.5</v>
      </c>
      <c r="F21" s="1">
        <v>1.83</v>
      </c>
      <c r="G21" s="9">
        <f>ROUND(E21*F21,2)</f>
        <v>0.92</v>
      </c>
    </row>
    <row r="22" spans="2:7" ht="15.75" hidden="1" thickBot="1" x14ac:dyDescent="0.3">
      <c r="B22" s="6" t="s">
        <v>86</v>
      </c>
      <c r="C22" s="4" t="s">
        <v>82</v>
      </c>
      <c r="D22" s="15" t="s">
        <v>87</v>
      </c>
      <c r="E22" s="1">
        <v>0.25</v>
      </c>
      <c r="F22" s="1">
        <v>2.0099999999999998</v>
      </c>
      <c r="G22" s="9">
        <f>ROUND(E22*F22,2)</f>
        <v>0.5</v>
      </c>
    </row>
    <row r="23" spans="2:7" hidden="1" x14ac:dyDescent="0.25">
      <c r="B23" s="16" t="s">
        <v>41</v>
      </c>
      <c r="C23" s="24" t="s">
        <v>42</v>
      </c>
      <c r="D23" s="17" t="s">
        <v>43</v>
      </c>
      <c r="E23" s="17" t="s">
        <v>44</v>
      </c>
      <c r="F23" s="20" t="s">
        <v>45</v>
      </c>
      <c r="G23" s="22" t="s">
        <v>46</v>
      </c>
    </row>
    <row r="24" spans="2:7" ht="15.75" hidden="1" thickBot="1" x14ac:dyDescent="0.3">
      <c r="B24" s="18">
        <v>0</v>
      </c>
      <c r="C24" s="19">
        <f>G18</f>
        <v>302.57</v>
      </c>
      <c r="D24" s="19">
        <f>SUM(G19:G20)</f>
        <v>3.04</v>
      </c>
      <c r="E24" s="19">
        <f>SUM(G21:G22)</f>
        <v>1.42</v>
      </c>
      <c r="F24" s="21">
        <v>0</v>
      </c>
      <c r="G24" s="23">
        <f>SUM(G18:G22)</f>
        <v>307.02999999999997</v>
      </c>
    </row>
    <row r="25" spans="2:7" hidden="1" x14ac:dyDescent="0.25"/>
    <row r="26" spans="2:7" hidden="1" x14ac:dyDescent="0.25"/>
    <row r="27" spans="2:7" hidden="1" x14ac:dyDescent="0.25"/>
    <row r="30" spans="2:7" ht="15.75" thickBot="1" x14ac:dyDescent="0.3"/>
    <row r="31" spans="2:7" ht="16.5" thickBot="1" x14ac:dyDescent="0.3">
      <c r="B31" s="383" t="s">
        <v>60</v>
      </c>
      <c r="C31" s="384"/>
      <c r="D31" s="384"/>
      <c r="E31" s="384"/>
      <c r="F31" s="384"/>
      <c r="G31" s="385"/>
    </row>
    <row r="32" spans="2:7" ht="44.25" customHeight="1" thickBot="1" x14ac:dyDescent="0.3">
      <c r="B32" s="380" t="s">
        <v>150</v>
      </c>
      <c r="C32" s="381"/>
      <c r="D32" s="381"/>
      <c r="E32" s="381"/>
      <c r="F32" s="381"/>
      <c r="G32" s="382"/>
    </row>
    <row r="33" spans="2:8" ht="15.75" thickBot="1" x14ac:dyDescent="0.3">
      <c r="B33" s="12" t="s">
        <v>34</v>
      </c>
      <c r="C33" s="13" t="s">
        <v>28</v>
      </c>
      <c r="D33" s="71" t="s">
        <v>29</v>
      </c>
      <c r="E33" s="71" t="s">
        <v>30</v>
      </c>
      <c r="F33" s="71" t="s">
        <v>31</v>
      </c>
      <c r="G33" s="72" t="s">
        <v>32</v>
      </c>
    </row>
    <row r="34" spans="2:8" x14ac:dyDescent="0.25">
      <c r="B34" s="10" t="s">
        <v>190</v>
      </c>
      <c r="C34" s="11" t="s">
        <v>197</v>
      </c>
      <c r="D34" s="70" t="s">
        <v>26</v>
      </c>
      <c r="E34" s="61">
        <v>1</v>
      </c>
      <c r="F34" s="85">
        <v>74.47</v>
      </c>
      <c r="G34" s="86">
        <f>E34*F34</f>
        <v>74.47</v>
      </c>
      <c r="H34" s="8">
        <v>1.82</v>
      </c>
    </row>
    <row r="35" spans="2:8" x14ac:dyDescent="0.25">
      <c r="B35" s="6" t="s">
        <v>196</v>
      </c>
      <c r="C35" s="5" t="s">
        <v>198</v>
      </c>
      <c r="D35" s="15" t="s">
        <v>65</v>
      </c>
      <c r="E35" s="1">
        <v>2</v>
      </c>
      <c r="F35" s="85">
        <v>5</v>
      </c>
      <c r="G35" s="29">
        <f t="shared" ref="G35:G41" si="0">ROUND(E35*F35,2)</f>
        <v>10</v>
      </c>
      <c r="H35" s="1">
        <v>0.25</v>
      </c>
    </row>
    <row r="36" spans="2:8" x14ac:dyDescent="0.25">
      <c r="B36" s="6" t="s">
        <v>196</v>
      </c>
      <c r="C36" s="4" t="s">
        <v>199</v>
      </c>
      <c r="D36" s="15" t="s">
        <v>95</v>
      </c>
      <c r="E36" s="1">
        <v>0.3</v>
      </c>
      <c r="F36" s="85">
        <v>28</v>
      </c>
      <c r="G36" s="29">
        <f t="shared" si="0"/>
        <v>8.4</v>
      </c>
      <c r="H36" s="1">
        <v>44.95</v>
      </c>
    </row>
    <row r="37" spans="2:8" x14ac:dyDescent="0.25">
      <c r="B37" s="6" t="s">
        <v>196</v>
      </c>
      <c r="C37" s="4" t="s">
        <v>200</v>
      </c>
      <c r="D37" s="15" t="s">
        <v>29</v>
      </c>
      <c r="E37" s="1">
        <v>12</v>
      </c>
      <c r="F37" s="85">
        <v>0.12</v>
      </c>
      <c r="G37" s="29">
        <f t="shared" si="0"/>
        <v>1.44</v>
      </c>
      <c r="H37" s="1">
        <v>33.18</v>
      </c>
    </row>
    <row r="38" spans="2:8" x14ac:dyDescent="0.25">
      <c r="B38" s="6" t="s">
        <v>196</v>
      </c>
      <c r="C38" s="5" t="s">
        <v>201</v>
      </c>
      <c r="D38" s="15" t="s">
        <v>65</v>
      </c>
      <c r="E38" s="2">
        <v>1</v>
      </c>
      <c r="F38" s="85">
        <v>4.3</v>
      </c>
      <c r="G38" s="29">
        <f t="shared" si="0"/>
        <v>4.3</v>
      </c>
      <c r="H38" s="1">
        <v>0.39</v>
      </c>
    </row>
    <row r="39" spans="2:8" x14ac:dyDescent="0.25">
      <c r="B39" s="7" t="s">
        <v>196</v>
      </c>
      <c r="C39" s="5" t="s">
        <v>202</v>
      </c>
      <c r="D39" s="15" t="s">
        <v>87</v>
      </c>
      <c r="E39" s="2">
        <v>0.6</v>
      </c>
      <c r="F39" s="85">
        <f>H39*0.97</f>
        <v>7.6435999999999993</v>
      </c>
      <c r="G39" s="86">
        <f t="shared" si="0"/>
        <v>4.59</v>
      </c>
      <c r="H39" s="1">
        <v>7.88</v>
      </c>
    </row>
    <row r="40" spans="2:8" x14ac:dyDescent="0.25">
      <c r="B40" s="93" t="s">
        <v>191</v>
      </c>
      <c r="C40" s="5" t="s">
        <v>193</v>
      </c>
      <c r="D40" s="15" t="s">
        <v>87</v>
      </c>
      <c r="E40" s="1">
        <v>0.3</v>
      </c>
      <c r="F40" s="61">
        <v>5.0599999999999996</v>
      </c>
      <c r="G40" s="9">
        <f t="shared" si="0"/>
        <v>1.52</v>
      </c>
      <c r="H40" s="1">
        <v>1.83</v>
      </c>
    </row>
    <row r="41" spans="2:8" ht="15.75" thickBot="1" x14ac:dyDescent="0.3">
      <c r="B41" s="92" t="s">
        <v>192</v>
      </c>
      <c r="C41" s="5" t="s">
        <v>194</v>
      </c>
      <c r="D41" s="15" t="s">
        <v>87</v>
      </c>
      <c r="E41" s="1">
        <v>2</v>
      </c>
      <c r="F41" s="61">
        <v>3.41</v>
      </c>
      <c r="G41" s="9">
        <f t="shared" si="0"/>
        <v>6.82</v>
      </c>
      <c r="H41" s="1">
        <v>1.78</v>
      </c>
    </row>
    <row r="42" spans="2:8" x14ac:dyDescent="0.25">
      <c r="B42" s="16" t="s">
        <v>41</v>
      </c>
      <c r="C42" s="24" t="s">
        <v>42</v>
      </c>
      <c r="D42" s="17" t="s">
        <v>43</v>
      </c>
      <c r="E42" s="17" t="s">
        <v>44</v>
      </c>
      <c r="F42" s="20" t="s">
        <v>45</v>
      </c>
      <c r="G42" s="22" t="s">
        <v>46</v>
      </c>
    </row>
    <row r="43" spans="2:8" ht="15.75" thickBot="1" x14ac:dyDescent="0.3">
      <c r="B43" s="18">
        <v>0</v>
      </c>
      <c r="C43" s="94">
        <f>G34+G35+G36+G37+G38</f>
        <v>98.61</v>
      </c>
      <c r="D43" s="94">
        <f>G39+G40+G41</f>
        <v>12.93</v>
      </c>
      <c r="E43" s="19">
        <f>SUM(G40:G41)</f>
        <v>8.34</v>
      </c>
      <c r="F43" s="21">
        <v>0</v>
      </c>
      <c r="G43" s="87">
        <f>SUM(G34:G41)+0.01</f>
        <v>111.55</v>
      </c>
    </row>
  </sheetData>
  <mergeCells count="6">
    <mergeCell ref="B32:G32"/>
    <mergeCell ref="B3:G3"/>
    <mergeCell ref="B4:G4"/>
    <mergeCell ref="B15:G15"/>
    <mergeCell ref="B16:G16"/>
    <mergeCell ref="B31:G31"/>
  </mergeCells>
  <pageMargins left="1.1811023622047245" right="0.78740157480314965" top="0.78740157480314965" bottom="0.78740157480314965" header="0" footer="0"/>
  <pageSetup paperSize="9" scale="75" orientation="portrait"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2"/>
  <dimension ref="B2:H46"/>
  <sheetViews>
    <sheetView view="pageBreakPreview" zoomScaleNormal="100" zoomScaleSheetLayoutView="100" workbookViewId="0">
      <selection activeCell="J22" sqref="J22"/>
    </sheetView>
  </sheetViews>
  <sheetFormatPr defaultRowHeight="15" x14ac:dyDescent="0.25"/>
  <cols>
    <col min="2" max="2" width="12.85546875" bestFit="1" customWidth="1"/>
    <col min="3" max="3" width="44.85546875" customWidth="1"/>
    <col min="4" max="4" width="12.7109375" bestFit="1" customWidth="1"/>
    <col min="5" max="5" width="10.140625" bestFit="1" customWidth="1"/>
    <col min="6" max="6" width="10.28515625" bestFit="1" customWidth="1"/>
    <col min="7" max="7" width="15.5703125" bestFit="1" customWidth="1"/>
    <col min="8" max="8" width="0" hidden="1" customWidth="1"/>
  </cols>
  <sheetData>
    <row r="2" spans="2:7" ht="15.75" hidden="1" thickBot="1" x14ac:dyDescent="0.3"/>
    <row r="3" spans="2:7" ht="16.5" hidden="1" thickBot="1" x14ac:dyDescent="0.3">
      <c r="B3" s="383" t="s">
        <v>60</v>
      </c>
      <c r="C3" s="384"/>
      <c r="D3" s="384"/>
      <c r="E3" s="384"/>
      <c r="F3" s="384"/>
      <c r="G3" s="385"/>
    </row>
    <row r="4" spans="2:7" ht="60" hidden="1" customHeight="1" thickBot="1" x14ac:dyDescent="0.3">
      <c r="B4" s="380" t="s">
        <v>78</v>
      </c>
      <c r="C4" s="381"/>
      <c r="D4" s="381"/>
      <c r="E4" s="381"/>
      <c r="F4" s="381"/>
      <c r="G4" s="382"/>
    </row>
    <row r="5" spans="2:7" ht="15.75" hidden="1" thickBot="1" x14ac:dyDescent="0.3">
      <c r="B5" s="12" t="s">
        <v>34</v>
      </c>
      <c r="C5" s="13" t="s">
        <v>28</v>
      </c>
      <c r="D5" s="71" t="s">
        <v>29</v>
      </c>
      <c r="E5" s="71" t="s">
        <v>30</v>
      </c>
      <c r="F5" s="71" t="s">
        <v>31</v>
      </c>
      <c r="G5" s="72" t="s">
        <v>32</v>
      </c>
    </row>
    <row r="6" spans="2:7" hidden="1" x14ac:dyDescent="0.25">
      <c r="B6" s="10" t="s">
        <v>0</v>
      </c>
      <c r="C6" s="11" t="s">
        <v>88</v>
      </c>
      <c r="D6" s="70" t="s">
        <v>29</v>
      </c>
      <c r="E6" s="8">
        <v>1</v>
      </c>
      <c r="F6" s="8">
        <v>107.5</v>
      </c>
      <c r="G6" s="9">
        <v>107.5</v>
      </c>
    </row>
    <row r="7" spans="2:7" hidden="1" x14ac:dyDescent="0.25">
      <c r="B7" s="6" t="s">
        <v>83</v>
      </c>
      <c r="C7" s="5" t="s">
        <v>79</v>
      </c>
      <c r="D7" s="15" t="s">
        <v>87</v>
      </c>
      <c r="E7" s="1">
        <v>0.25</v>
      </c>
      <c r="F7" s="1">
        <v>4.05</v>
      </c>
      <c r="G7" s="9">
        <f>ROUND(E7*F7,2)</f>
        <v>1.01</v>
      </c>
    </row>
    <row r="8" spans="2:7" hidden="1" x14ac:dyDescent="0.25">
      <c r="B8" s="7" t="s">
        <v>84</v>
      </c>
      <c r="C8" s="5" t="s">
        <v>80</v>
      </c>
      <c r="D8" s="15" t="s">
        <v>87</v>
      </c>
      <c r="E8" s="1">
        <v>0.5</v>
      </c>
      <c r="F8" s="1">
        <v>4.05</v>
      </c>
      <c r="G8" s="9">
        <f>ROUND(E8*F8,2)</f>
        <v>2.0299999999999998</v>
      </c>
    </row>
    <row r="9" spans="2:7" hidden="1" x14ac:dyDescent="0.25">
      <c r="B9" s="6" t="s">
        <v>85</v>
      </c>
      <c r="C9" s="5" t="s">
        <v>81</v>
      </c>
      <c r="D9" s="15" t="s">
        <v>87</v>
      </c>
      <c r="E9" s="1">
        <v>0.5</v>
      </c>
      <c r="F9" s="1">
        <v>1.83</v>
      </c>
      <c r="G9" s="9">
        <f>ROUND(E9*F9,2)</f>
        <v>0.92</v>
      </c>
    </row>
    <row r="10" spans="2:7" ht="15.75" hidden="1" thickBot="1" x14ac:dyDescent="0.3">
      <c r="B10" s="6" t="s">
        <v>86</v>
      </c>
      <c r="C10" s="4" t="s">
        <v>82</v>
      </c>
      <c r="D10" s="15" t="s">
        <v>87</v>
      </c>
      <c r="E10" s="1">
        <v>0.25</v>
      </c>
      <c r="F10" s="1">
        <v>2.0099999999999998</v>
      </c>
      <c r="G10" s="9">
        <f>ROUND(E10*F10,2)</f>
        <v>0.5</v>
      </c>
    </row>
    <row r="11" spans="2:7" hidden="1" x14ac:dyDescent="0.25">
      <c r="B11" s="16" t="s">
        <v>41</v>
      </c>
      <c r="C11" s="24" t="s">
        <v>42</v>
      </c>
      <c r="D11" s="17" t="s">
        <v>43</v>
      </c>
      <c r="E11" s="17" t="s">
        <v>44</v>
      </c>
      <c r="F11" s="20" t="s">
        <v>45</v>
      </c>
      <c r="G11" s="22" t="s">
        <v>46</v>
      </c>
    </row>
    <row r="12" spans="2:7" ht="15.75" hidden="1" thickBot="1" x14ac:dyDescent="0.3">
      <c r="B12" s="18">
        <v>0</v>
      </c>
      <c r="C12" s="19">
        <f>G6</f>
        <v>107.5</v>
      </c>
      <c r="D12" s="19">
        <f>SUM(G7:G8)</f>
        <v>3.04</v>
      </c>
      <c r="E12" s="19">
        <f>SUM(G9:G10)</f>
        <v>1.42</v>
      </c>
      <c r="F12" s="21">
        <v>0</v>
      </c>
      <c r="G12" s="23">
        <f>SUM(G6:G10)</f>
        <v>111.96000000000001</v>
      </c>
    </row>
    <row r="14" spans="2:7" ht="15.75" thickBot="1" x14ac:dyDescent="0.3"/>
    <row r="15" spans="2:7" ht="16.5" thickBot="1" x14ac:dyDescent="0.3">
      <c r="B15" s="383" t="s">
        <v>60</v>
      </c>
      <c r="C15" s="384"/>
      <c r="D15" s="384"/>
      <c r="E15" s="384"/>
      <c r="F15" s="384"/>
      <c r="G15" s="385"/>
    </row>
    <row r="16" spans="2:7" ht="61.5" customHeight="1" thickBot="1" x14ac:dyDescent="0.3">
      <c r="B16" s="380" t="s">
        <v>89</v>
      </c>
      <c r="C16" s="381"/>
      <c r="D16" s="381"/>
      <c r="E16" s="381"/>
      <c r="F16" s="381"/>
      <c r="G16" s="382"/>
    </row>
    <row r="17" spans="2:8" ht="15.75" thickBot="1" x14ac:dyDescent="0.3">
      <c r="B17" s="12" t="s">
        <v>34</v>
      </c>
      <c r="C17" s="13" t="s">
        <v>28</v>
      </c>
      <c r="D17" s="71" t="s">
        <v>29</v>
      </c>
      <c r="E17" s="71" t="s">
        <v>30</v>
      </c>
      <c r="F17" s="71" t="s">
        <v>31</v>
      </c>
      <c r="G17" s="72" t="s">
        <v>32</v>
      </c>
    </row>
    <row r="18" spans="2:8" ht="15.75" customHeight="1" x14ac:dyDescent="0.25">
      <c r="B18" s="10" t="s">
        <v>0</v>
      </c>
      <c r="C18" s="11" t="s">
        <v>90</v>
      </c>
      <c r="D18" s="70" t="s">
        <v>29</v>
      </c>
      <c r="E18" s="8">
        <v>1</v>
      </c>
      <c r="F18" s="85">
        <v>293.5</v>
      </c>
      <c r="G18" s="9">
        <f>F18*E18</f>
        <v>293.5</v>
      </c>
      <c r="H18" s="8">
        <v>107.5</v>
      </c>
    </row>
    <row r="19" spans="2:8" x14ac:dyDescent="0.25">
      <c r="B19" s="6" t="s">
        <v>83</v>
      </c>
      <c r="C19" s="5" t="s">
        <v>79</v>
      </c>
      <c r="D19" s="15" t="s">
        <v>87</v>
      </c>
      <c r="E19" s="1">
        <v>0.25</v>
      </c>
      <c r="F19" s="85">
        <f>H19*0.97</f>
        <v>3.9284999999999997</v>
      </c>
      <c r="G19" s="9">
        <f>ROUND(E19*F19,2)</f>
        <v>0.98</v>
      </c>
      <c r="H19" s="1">
        <v>4.05</v>
      </c>
    </row>
    <row r="20" spans="2:8" x14ac:dyDescent="0.25">
      <c r="B20" s="7" t="s">
        <v>84</v>
      </c>
      <c r="C20" s="5" t="s">
        <v>80</v>
      </c>
      <c r="D20" s="15" t="s">
        <v>87</v>
      </c>
      <c r="E20" s="1">
        <v>0.5</v>
      </c>
      <c r="F20" s="85">
        <f>H20*0.97</f>
        <v>3.9284999999999997</v>
      </c>
      <c r="G20" s="9">
        <f>ROUND(E20*F20,2)</f>
        <v>1.96</v>
      </c>
      <c r="H20" s="1">
        <v>4.05</v>
      </c>
    </row>
    <row r="21" spans="2:8" x14ac:dyDescent="0.25">
      <c r="B21" s="6" t="s">
        <v>85</v>
      </c>
      <c r="C21" s="5" t="s">
        <v>81</v>
      </c>
      <c r="D21" s="15" t="s">
        <v>87</v>
      </c>
      <c r="E21" s="1">
        <v>0.5</v>
      </c>
      <c r="F21" s="85">
        <f>H21*0.97</f>
        <v>1.7751000000000001</v>
      </c>
      <c r="G21" s="9">
        <f>ROUND(E21*F21,2)</f>
        <v>0.89</v>
      </c>
      <c r="H21" s="1">
        <v>1.83</v>
      </c>
    </row>
    <row r="22" spans="2:8" ht="15.75" thickBot="1" x14ac:dyDescent="0.3">
      <c r="B22" s="6" t="s">
        <v>86</v>
      </c>
      <c r="C22" s="4" t="s">
        <v>82</v>
      </c>
      <c r="D22" s="15" t="s">
        <v>87</v>
      </c>
      <c r="E22" s="1">
        <v>0.25</v>
      </c>
      <c r="F22" s="85">
        <f>H22*0.97</f>
        <v>1.9496999999999998</v>
      </c>
      <c r="G22" s="9">
        <f>ROUND(E22*F22,2)</f>
        <v>0.49</v>
      </c>
      <c r="H22" s="1">
        <v>2.0099999999999998</v>
      </c>
    </row>
    <row r="23" spans="2:8" x14ac:dyDescent="0.25">
      <c r="B23" s="16" t="s">
        <v>41</v>
      </c>
      <c r="C23" s="24" t="s">
        <v>42</v>
      </c>
      <c r="D23" s="17" t="s">
        <v>43</v>
      </c>
      <c r="E23" s="17" t="s">
        <v>44</v>
      </c>
      <c r="F23" s="20" t="s">
        <v>45</v>
      </c>
      <c r="G23" s="22" t="s">
        <v>46</v>
      </c>
    </row>
    <row r="24" spans="2:8" ht="15.75" thickBot="1" x14ac:dyDescent="0.3">
      <c r="B24" s="18">
        <v>0</v>
      </c>
      <c r="C24" s="19">
        <f>G18</f>
        <v>293.5</v>
      </c>
      <c r="D24" s="19">
        <f>SUM(G19:G20)</f>
        <v>2.94</v>
      </c>
      <c r="E24" s="19">
        <f>SUM(G21:G22)</f>
        <v>1.38</v>
      </c>
      <c r="F24" s="21">
        <v>0</v>
      </c>
      <c r="G24" s="23">
        <f>SUM(G18:G22)</f>
        <v>297.82</v>
      </c>
    </row>
    <row r="30" spans="2:8" ht="15.75" hidden="1" thickBot="1" x14ac:dyDescent="0.3"/>
    <row r="31" spans="2:8" ht="16.5" hidden="1" thickBot="1" x14ac:dyDescent="0.3">
      <c r="B31" s="383" t="s">
        <v>60</v>
      </c>
      <c r="C31" s="384"/>
      <c r="D31" s="384"/>
      <c r="E31" s="384"/>
      <c r="F31" s="384"/>
      <c r="G31" s="385"/>
    </row>
    <row r="32" spans="2:8" ht="65.25" hidden="1" customHeight="1" thickBot="1" x14ac:dyDescent="0.3">
      <c r="B32" s="380" t="s">
        <v>89</v>
      </c>
      <c r="C32" s="381"/>
      <c r="D32" s="381"/>
      <c r="E32" s="381"/>
      <c r="F32" s="381"/>
      <c r="G32" s="382"/>
    </row>
    <row r="33" spans="2:8" ht="15.75" hidden="1" thickBot="1" x14ac:dyDescent="0.3">
      <c r="B33" s="12" t="s">
        <v>34</v>
      </c>
      <c r="C33" s="13" t="s">
        <v>28</v>
      </c>
      <c r="D33" s="71" t="s">
        <v>29</v>
      </c>
      <c r="E33" s="71" t="s">
        <v>30</v>
      </c>
      <c r="F33" s="71" t="s">
        <v>31</v>
      </c>
      <c r="G33" s="72" t="s">
        <v>32</v>
      </c>
    </row>
    <row r="34" spans="2:8" hidden="1" x14ac:dyDescent="0.25">
      <c r="B34" s="10" t="s">
        <v>0</v>
      </c>
      <c r="C34" s="11" t="s">
        <v>113</v>
      </c>
      <c r="D34" s="70" t="s">
        <v>65</v>
      </c>
      <c r="E34" s="61">
        <v>4</v>
      </c>
      <c r="F34" s="85">
        <f>H34*0.97</f>
        <v>1.7654000000000001</v>
      </c>
      <c r="G34" s="86">
        <f>E34*F34</f>
        <v>7.0616000000000003</v>
      </c>
      <c r="H34" s="8">
        <v>1.82</v>
      </c>
    </row>
    <row r="35" spans="2:8" ht="22.5" hidden="1" x14ac:dyDescent="0.25">
      <c r="B35" s="6" t="s">
        <v>115</v>
      </c>
      <c r="C35" s="5" t="s">
        <v>114</v>
      </c>
      <c r="D35" s="15" t="s">
        <v>29</v>
      </c>
      <c r="E35" s="1">
        <v>1.05</v>
      </c>
      <c r="F35" s="85">
        <f t="shared" ref="F35:F41" si="0">H35*0.97</f>
        <v>0.24249999999999999</v>
      </c>
      <c r="G35" s="29">
        <f t="shared" ref="G35:G43" si="1">ROUND(E35*F35,2)</f>
        <v>0.25</v>
      </c>
      <c r="H35" s="1">
        <v>0.25</v>
      </c>
    </row>
    <row r="36" spans="2:8" hidden="1" x14ac:dyDescent="0.25">
      <c r="B36" s="6" t="s">
        <v>119</v>
      </c>
      <c r="C36" s="4" t="s">
        <v>116</v>
      </c>
      <c r="D36" s="15" t="s">
        <v>95</v>
      </c>
      <c r="E36" s="1">
        <v>3.0000000000000001E-3</v>
      </c>
      <c r="F36" s="85">
        <f t="shared" si="0"/>
        <v>43.601500000000001</v>
      </c>
      <c r="G36" s="29">
        <f t="shared" si="1"/>
        <v>0.13</v>
      </c>
      <c r="H36" s="1">
        <v>44.95</v>
      </c>
    </row>
    <row r="37" spans="2:8" hidden="1" x14ac:dyDescent="0.25">
      <c r="B37" s="6" t="s">
        <v>118</v>
      </c>
      <c r="C37" s="4" t="s">
        <v>117</v>
      </c>
      <c r="D37" s="15" t="s">
        <v>123</v>
      </c>
      <c r="E37" s="1">
        <v>3.0000000000000001E-3</v>
      </c>
      <c r="F37" s="85">
        <f t="shared" si="0"/>
        <v>32.184599999999996</v>
      </c>
      <c r="G37" s="29">
        <f t="shared" si="1"/>
        <v>0.1</v>
      </c>
      <c r="H37" s="1">
        <v>33.18</v>
      </c>
    </row>
    <row r="38" spans="2:8" hidden="1" x14ac:dyDescent="0.25">
      <c r="B38" s="6" t="s">
        <v>125</v>
      </c>
      <c r="C38" s="5" t="s">
        <v>124</v>
      </c>
      <c r="D38" s="15" t="s">
        <v>95</v>
      </c>
      <c r="E38" s="2">
        <v>3.2</v>
      </c>
      <c r="F38" s="85">
        <f t="shared" si="0"/>
        <v>0.37830000000000003</v>
      </c>
      <c r="G38" s="29">
        <f t="shared" si="1"/>
        <v>1.21</v>
      </c>
      <c r="H38" s="1">
        <v>0.39</v>
      </c>
    </row>
    <row r="39" spans="2:8" hidden="1" x14ac:dyDescent="0.25">
      <c r="B39" s="6" t="s">
        <v>127</v>
      </c>
      <c r="C39" s="5" t="s">
        <v>120</v>
      </c>
      <c r="D39" s="15" t="s">
        <v>105</v>
      </c>
      <c r="E39" s="1">
        <v>5.0000000000000001E-3</v>
      </c>
      <c r="F39" s="85">
        <f t="shared" si="0"/>
        <v>58.199999999999996</v>
      </c>
      <c r="G39" s="29">
        <f t="shared" si="1"/>
        <v>0.28999999999999998</v>
      </c>
      <c r="H39" s="1">
        <v>60</v>
      </c>
    </row>
    <row r="40" spans="2:8" hidden="1" x14ac:dyDescent="0.25">
      <c r="B40" s="75" t="s">
        <v>126</v>
      </c>
      <c r="C40" s="5" t="s">
        <v>121</v>
      </c>
      <c r="D40" s="15" t="s">
        <v>87</v>
      </c>
      <c r="E40" s="2">
        <v>1.84</v>
      </c>
      <c r="F40" s="85">
        <f>H40*0.97</f>
        <v>10.3111</v>
      </c>
      <c r="G40" s="86">
        <f t="shared" si="1"/>
        <v>18.97</v>
      </c>
      <c r="H40" s="1">
        <v>10.63</v>
      </c>
    </row>
    <row r="41" spans="2:8" hidden="1" x14ac:dyDescent="0.25">
      <c r="B41" s="7" t="s">
        <v>84</v>
      </c>
      <c r="C41" s="5" t="s">
        <v>80</v>
      </c>
      <c r="D41" s="15" t="s">
        <v>87</v>
      </c>
      <c r="E41" s="2">
        <v>1.84</v>
      </c>
      <c r="F41" s="85">
        <f t="shared" si="0"/>
        <v>7.6435999999999993</v>
      </c>
      <c r="G41" s="86">
        <f t="shared" si="1"/>
        <v>14.06</v>
      </c>
      <c r="H41" s="1">
        <v>7.88</v>
      </c>
    </row>
    <row r="42" spans="2:8" hidden="1" x14ac:dyDescent="0.25">
      <c r="B42" s="93" t="s">
        <v>191</v>
      </c>
      <c r="C42" s="5" t="s">
        <v>193</v>
      </c>
      <c r="D42" s="15" t="s">
        <v>87</v>
      </c>
      <c r="E42" s="1">
        <v>0.15</v>
      </c>
      <c r="F42" s="61">
        <v>5.0599999999999996</v>
      </c>
      <c r="G42" s="9">
        <f t="shared" si="1"/>
        <v>0.76</v>
      </c>
      <c r="H42" s="1">
        <v>1.83</v>
      </c>
    </row>
    <row r="43" spans="2:8" ht="15.75" hidden="1" thickBot="1" x14ac:dyDescent="0.3">
      <c r="B43" s="92" t="s">
        <v>192</v>
      </c>
      <c r="C43" s="5" t="s">
        <v>194</v>
      </c>
      <c r="D43" s="15" t="s">
        <v>87</v>
      </c>
      <c r="E43" s="1">
        <v>2</v>
      </c>
      <c r="F43" s="61">
        <v>3.41</v>
      </c>
      <c r="G43" s="9">
        <f t="shared" si="1"/>
        <v>6.82</v>
      </c>
      <c r="H43" s="1">
        <v>1.78</v>
      </c>
    </row>
    <row r="44" spans="2:8" hidden="1" x14ac:dyDescent="0.25">
      <c r="B44" s="16" t="s">
        <v>41</v>
      </c>
      <c r="C44" s="24" t="s">
        <v>42</v>
      </c>
      <c r="D44" s="17" t="s">
        <v>43</v>
      </c>
      <c r="E44" s="17" t="s">
        <v>44</v>
      </c>
      <c r="F44" s="20" t="s">
        <v>45</v>
      </c>
      <c r="G44" s="22" t="s">
        <v>46</v>
      </c>
    </row>
    <row r="45" spans="2:8" ht="15.75" hidden="1" thickBot="1" x14ac:dyDescent="0.3">
      <c r="B45" s="18">
        <v>0</v>
      </c>
      <c r="C45" s="19">
        <f>G34+G35+G36+G37+G38+G39</f>
        <v>9.041599999999999</v>
      </c>
      <c r="D45" s="19">
        <f>G40+G41</f>
        <v>33.03</v>
      </c>
      <c r="E45" s="19">
        <f>SUM(G42:G43)</f>
        <v>7.58</v>
      </c>
      <c r="F45" s="21">
        <v>0</v>
      </c>
      <c r="G45" s="87">
        <f>SUM(G34:G43)+0.01</f>
        <v>49.661599999999993</v>
      </c>
    </row>
    <row r="46" spans="2:8" hidden="1" x14ac:dyDescent="0.25"/>
  </sheetData>
  <mergeCells count="6">
    <mergeCell ref="B32:G32"/>
    <mergeCell ref="B3:G3"/>
    <mergeCell ref="B4:G4"/>
    <mergeCell ref="B15:G15"/>
    <mergeCell ref="B16:G16"/>
    <mergeCell ref="B31:G31"/>
  </mergeCells>
  <pageMargins left="1.1811023622047245" right="0.78740157480314965" top="0.78740157480314965" bottom="0.78740157480314965" header="0" footer="0"/>
  <pageSetup paperSize="9" scale="75" orientation="portrait"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3"/>
  <dimension ref="B2:H37"/>
  <sheetViews>
    <sheetView view="pageBreakPreview" topLeftCell="A29" zoomScaleNormal="100" zoomScaleSheetLayoutView="100" workbookViewId="0">
      <selection activeCell="G38" sqref="G38"/>
    </sheetView>
  </sheetViews>
  <sheetFormatPr defaultRowHeight="15" x14ac:dyDescent="0.25"/>
  <cols>
    <col min="2" max="2" width="12.85546875" bestFit="1" customWidth="1"/>
    <col min="3" max="3" width="44.85546875" customWidth="1"/>
    <col min="4" max="4" width="12.7109375" bestFit="1" customWidth="1"/>
    <col min="5" max="5" width="10.140625" bestFit="1" customWidth="1"/>
    <col min="6" max="6" width="10.28515625" bestFit="1" customWidth="1"/>
    <col min="7" max="7" width="15.5703125" bestFit="1" customWidth="1"/>
    <col min="8" max="8" width="0" hidden="1" customWidth="1"/>
  </cols>
  <sheetData>
    <row r="2" spans="2:7" ht="15.75" hidden="1" thickBot="1" x14ac:dyDescent="0.3"/>
    <row r="3" spans="2:7" ht="16.5" hidden="1" thickBot="1" x14ac:dyDescent="0.3">
      <c r="B3" s="383" t="s">
        <v>60</v>
      </c>
      <c r="C3" s="384"/>
      <c r="D3" s="384"/>
      <c r="E3" s="384"/>
      <c r="F3" s="384"/>
      <c r="G3" s="385"/>
    </row>
    <row r="4" spans="2:7" ht="60" hidden="1" customHeight="1" thickBot="1" x14ac:dyDescent="0.3">
      <c r="B4" s="380" t="s">
        <v>78</v>
      </c>
      <c r="C4" s="381"/>
      <c r="D4" s="381"/>
      <c r="E4" s="381"/>
      <c r="F4" s="381"/>
      <c r="G4" s="382"/>
    </row>
    <row r="5" spans="2:7" ht="15.75" hidden="1" thickBot="1" x14ac:dyDescent="0.3">
      <c r="B5" s="12" t="s">
        <v>34</v>
      </c>
      <c r="C5" s="13" t="s">
        <v>28</v>
      </c>
      <c r="D5" s="71" t="s">
        <v>29</v>
      </c>
      <c r="E5" s="71" t="s">
        <v>30</v>
      </c>
      <c r="F5" s="71" t="s">
        <v>31</v>
      </c>
      <c r="G5" s="72" t="s">
        <v>32</v>
      </c>
    </row>
    <row r="6" spans="2:7" hidden="1" x14ac:dyDescent="0.25">
      <c r="B6" s="10" t="s">
        <v>0</v>
      </c>
      <c r="C6" s="11" t="s">
        <v>88</v>
      </c>
      <c r="D6" s="70" t="s">
        <v>29</v>
      </c>
      <c r="E6" s="8">
        <v>1</v>
      </c>
      <c r="F6" s="8">
        <v>107.5</v>
      </c>
      <c r="G6" s="9">
        <v>107.5</v>
      </c>
    </row>
    <row r="7" spans="2:7" hidden="1" x14ac:dyDescent="0.25">
      <c r="B7" s="6" t="s">
        <v>83</v>
      </c>
      <c r="C7" s="5" t="s">
        <v>79</v>
      </c>
      <c r="D7" s="15" t="s">
        <v>87</v>
      </c>
      <c r="E7" s="1">
        <v>0.25</v>
      </c>
      <c r="F7" s="1">
        <v>4.05</v>
      </c>
      <c r="G7" s="9">
        <f>ROUND(E7*F7,2)</f>
        <v>1.01</v>
      </c>
    </row>
    <row r="8" spans="2:7" hidden="1" x14ac:dyDescent="0.25">
      <c r="B8" s="7" t="s">
        <v>84</v>
      </c>
      <c r="C8" s="5" t="s">
        <v>80</v>
      </c>
      <c r="D8" s="15" t="s">
        <v>87</v>
      </c>
      <c r="E8" s="1">
        <v>0.5</v>
      </c>
      <c r="F8" s="1">
        <v>4.05</v>
      </c>
      <c r="G8" s="9">
        <f>ROUND(E8*F8,2)</f>
        <v>2.0299999999999998</v>
      </c>
    </row>
    <row r="9" spans="2:7" hidden="1" x14ac:dyDescent="0.25">
      <c r="B9" s="6" t="s">
        <v>85</v>
      </c>
      <c r="C9" s="5" t="s">
        <v>81</v>
      </c>
      <c r="D9" s="15" t="s">
        <v>87</v>
      </c>
      <c r="E9" s="1">
        <v>0.5</v>
      </c>
      <c r="F9" s="1">
        <v>1.83</v>
      </c>
      <c r="G9" s="9">
        <f>ROUND(E9*F9,2)</f>
        <v>0.92</v>
      </c>
    </row>
    <row r="10" spans="2:7" ht="15.75" hidden="1" thickBot="1" x14ac:dyDescent="0.3">
      <c r="B10" s="6" t="s">
        <v>86</v>
      </c>
      <c r="C10" s="4" t="s">
        <v>82</v>
      </c>
      <c r="D10" s="15" t="s">
        <v>87</v>
      </c>
      <c r="E10" s="1">
        <v>0.25</v>
      </c>
      <c r="F10" s="1">
        <v>2.0099999999999998</v>
      </c>
      <c r="G10" s="9">
        <f>ROUND(E10*F10,2)</f>
        <v>0.5</v>
      </c>
    </row>
    <row r="11" spans="2:7" hidden="1" x14ac:dyDescent="0.25">
      <c r="B11" s="16" t="s">
        <v>41</v>
      </c>
      <c r="C11" s="24" t="s">
        <v>42</v>
      </c>
      <c r="D11" s="17" t="s">
        <v>43</v>
      </c>
      <c r="E11" s="17" t="s">
        <v>44</v>
      </c>
      <c r="F11" s="20" t="s">
        <v>45</v>
      </c>
      <c r="G11" s="22" t="s">
        <v>46</v>
      </c>
    </row>
    <row r="12" spans="2:7" ht="15.75" hidden="1" thickBot="1" x14ac:dyDescent="0.3">
      <c r="B12" s="18">
        <v>0</v>
      </c>
      <c r="C12" s="19">
        <f>G6</f>
        <v>107.5</v>
      </c>
      <c r="D12" s="19">
        <f>SUM(G7:G8)</f>
        <v>3.04</v>
      </c>
      <c r="E12" s="19">
        <f>SUM(G9:G10)</f>
        <v>1.42</v>
      </c>
      <c r="F12" s="21">
        <v>0</v>
      </c>
      <c r="G12" s="23">
        <f>SUM(G6:G10)</f>
        <v>111.96000000000001</v>
      </c>
    </row>
    <row r="13" spans="2:7" hidden="1" x14ac:dyDescent="0.25"/>
    <row r="14" spans="2:7" ht="15.75" hidden="1" thickBot="1" x14ac:dyDescent="0.3"/>
    <row r="15" spans="2:7" ht="16.5" hidden="1" thickBot="1" x14ac:dyDescent="0.3">
      <c r="B15" s="383" t="s">
        <v>60</v>
      </c>
      <c r="C15" s="384"/>
      <c r="D15" s="384"/>
      <c r="E15" s="384"/>
      <c r="F15" s="384"/>
      <c r="G15" s="385"/>
    </row>
    <row r="16" spans="2:7" ht="61.5" hidden="1" customHeight="1" thickBot="1" x14ac:dyDescent="0.3">
      <c r="B16" s="380" t="s">
        <v>89</v>
      </c>
      <c r="C16" s="381"/>
      <c r="D16" s="381"/>
      <c r="E16" s="381"/>
      <c r="F16" s="381"/>
      <c r="G16" s="382"/>
    </row>
    <row r="17" spans="2:7" ht="15.75" hidden="1" thickBot="1" x14ac:dyDescent="0.3">
      <c r="B17" s="12" t="s">
        <v>34</v>
      </c>
      <c r="C17" s="13" t="s">
        <v>28</v>
      </c>
      <c r="D17" s="71" t="s">
        <v>29</v>
      </c>
      <c r="E17" s="71" t="s">
        <v>30</v>
      </c>
      <c r="F17" s="71" t="s">
        <v>31</v>
      </c>
      <c r="G17" s="72" t="s">
        <v>32</v>
      </c>
    </row>
    <row r="18" spans="2:7" ht="15.75" hidden="1" customHeight="1" x14ac:dyDescent="0.25">
      <c r="B18" s="10" t="s">
        <v>0</v>
      </c>
      <c r="C18" s="11" t="s">
        <v>90</v>
      </c>
      <c r="D18" s="70" t="s">
        <v>29</v>
      </c>
      <c r="E18" s="8">
        <v>1</v>
      </c>
      <c r="F18" s="8">
        <v>107.5</v>
      </c>
      <c r="G18" s="9">
        <v>302.57</v>
      </c>
    </row>
    <row r="19" spans="2:7" hidden="1" x14ac:dyDescent="0.25">
      <c r="B19" s="6" t="s">
        <v>83</v>
      </c>
      <c r="C19" s="5" t="s">
        <v>79</v>
      </c>
      <c r="D19" s="15" t="s">
        <v>87</v>
      </c>
      <c r="E19" s="1">
        <v>0.25</v>
      </c>
      <c r="F19" s="1">
        <v>4.05</v>
      </c>
      <c r="G19" s="9">
        <f>ROUND(E19*F19,2)</f>
        <v>1.01</v>
      </c>
    </row>
    <row r="20" spans="2:7" hidden="1" x14ac:dyDescent="0.25">
      <c r="B20" s="7" t="s">
        <v>84</v>
      </c>
      <c r="C20" s="5" t="s">
        <v>80</v>
      </c>
      <c r="D20" s="15" t="s">
        <v>87</v>
      </c>
      <c r="E20" s="1">
        <v>0.5</v>
      </c>
      <c r="F20" s="1">
        <v>4.05</v>
      </c>
      <c r="G20" s="9">
        <f>ROUND(E20*F20,2)</f>
        <v>2.0299999999999998</v>
      </c>
    </row>
    <row r="21" spans="2:7" hidden="1" x14ac:dyDescent="0.25">
      <c r="B21" s="6" t="s">
        <v>85</v>
      </c>
      <c r="C21" s="5" t="s">
        <v>81</v>
      </c>
      <c r="D21" s="15" t="s">
        <v>87</v>
      </c>
      <c r="E21" s="1">
        <v>0.5</v>
      </c>
      <c r="F21" s="1">
        <v>1.83</v>
      </c>
      <c r="G21" s="9">
        <f>ROUND(E21*F21,2)</f>
        <v>0.92</v>
      </c>
    </row>
    <row r="22" spans="2:7" ht="15.75" hidden="1" thickBot="1" x14ac:dyDescent="0.3">
      <c r="B22" s="6" t="s">
        <v>86</v>
      </c>
      <c r="C22" s="4" t="s">
        <v>82</v>
      </c>
      <c r="D22" s="15" t="s">
        <v>87</v>
      </c>
      <c r="E22" s="1">
        <v>0.25</v>
      </c>
      <c r="F22" s="1">
        <v>2.0099999999999998</v>
      </c>
      <c r="G22" s="9">
        <f>ROUND(E22*F22,2)</f>
        <v>0.5</v>
      </c>
    </row>
    <row r="23" spans="2:7" hidden="1" x14ac:dyDescent="0.25">
      <c r="B23" s="16" t="s">
        <v>41</v>
      </c>
      <c r="C23" s="24" t="s">
        <v>42</v>
      </c>
      <c r="D23" s="17" t="s">
        <v>43</v>
      </c>
      <c r="E23" s="17" t="s">
        <v>44</v>
      </c>
      <c r="F23" s="20" t="s">
        <v>45</v>
      </c>
      <c r="G23" s="22" t="s">
        <v>46</v>
      </c>
    </row>
    <row r="24" spans="2:7" ht="15.75" hidden="1" thickBot="1" x14ac:dyDescent="0.3">
      <c r="B24" s="18">
        <v>0</v>
      </c>
      <c r="C24" s="19">
        <f>G18</f>
        <v>302.57</v>
      </c>
      <c r="D24" s="19">
        <f>SUM(G19:G20)</f>
        <v>3.04</v>
      </c>
      <c r="E24" s="19">
        <f>SUM(G21:G22)</f>
        <v>1.42</v>
      </c>
      <c r="F24" s="21">
        <v>0</v>
      </c>
      <c r="G24" s="23">
        <f>SUM(G18:G22)</f>
        <v>307.02999999999997</v>
      </c>
    </row>
    <row r="25" spans="2:7" hidden="1" x14ac:dyDescent="0.25"/>
    <row r="26" spans="2:7" hidden="1" x14ac:dyDescent="0.25"/>
    <row r="30" spans="2:7" ht="15.75" thickBot="1" x14ac:dyDescent="0.3"/>
    <row r="31" spans="2:7" ht="16.5" thickBot="1" x14ac:dyDescent="0.3">
      <c r="B31" s="383" t="s">
        <v>60</v>
      </c>
      <c r="C31" s="384"/>
      <c r="D31" s="384"/>
      <c r="E31" s="384"/>
      <c r="F31" s="384"/>
      <c r="G31" s="385"/>
    </row>
    <row r="32" spans="2:7" ht="65.25" customHeight="1" thickBot="1" x14ac:dyDescent="0.3">
      <c r="B32" s="380" t="s">
        <v>151</v>
      </c>
      <c r="C32" s="381"/>
      <c r="D32" s="381"/>
      <c r="E32" s="381"/>
      <c r="F32" s="381"/>
      <c r="G32" s="382"/>
    </row>
    <row r="33" spans="2:8" ht="15.75" thickBot="1" x14ac:dyDescent="0.3">
      <c r="B33" s="12" t="s">
        <v>34</v>
      </c>
      <c r="C33" s="13" t="s">
        <v>28</v>
      </c>
      <c r="D33" s="71" t="s">
        <v>29</v>
      </c>
      <c r="E33" s="71" t="s">
        <v>30</v>
      </c>
      <c r="F33" s="71" t="s">
        <v>31</v>
      </c>
      <c r="G33" s="72" t="s">
        <v>32</v>
      </c>
    </row>
    <row r="34" spans="2:8" x14ac:dyDescent="0.25">
      <c r="B34" s="93" t="s">
        <v>191</v>
      </c>
      <c r="C34" s="5" t="s">
        <v>193</v>
      </c>
      <c r="D34" s="15" t="s">
        <v>87</v>
      </c>
      <c r="E34" s="1">
        <v>1.98</v>
      </c>
      <c r="F34" s="61">
        <v>5.0599999999999996</v>
      </c>
      <c r="G34" s="9">
        <f>ROUND(E34*F34,2)</f>
        <v>10.02</v>
      </c>
      <c r="H34" s="1">
        <v>1.83</v>
      </c>
    </row>
    <row r="35" spans="2:8" ht="15.75" thickBot="1" x14ac:dyDescent="0.3">
      <c r="B35" s="92" t="s">
        <v>192</v>
      </c>
      <c r="C35" s="5" t="s">
        <v>194</v>
      </c>
      <c r="D35" s="15" t="s">
        <v>87</v>
      </c>
      <c r="E35" s="1">
        <v>4</v>
      </c>
      <c r="F35" s="61">
        <v>3.41</v>
      </c>
      <c r="G35" s="9">
        <f>ROUND(E35*F35,2)</f>
        <v>13.64</v>
      </c>
      <c r="H35" s="1">
        <v>1.78</v>
      </c>
    </row>
    <row r="36" spans="2:8" x14ac:dyDescent="0.25">
      <c r="B36" s="16" t="s">
        <v>41</v>
      </c>
      <c r="C36" s="24" t="s">
        <v>42</v>
      </c>
      <c r="D36" s="17" t="s">
        <v>43</v>
      </c>
      <c r="E36" s="17" t="s">
        <v>44</v>
      </c>
      <c r="F36" s="20" t="s">
        <v>45</v>
      </c>
      <c r="G36" s="22" t="s">
        <v>46</v>
      </c>
    </row>
    <row r="37" spans="2:8" ht="15.75" thickBot="1" x14ac:dyDescent="0.3">
      <c r="B37" s="18">
        <v>0</v>
      </c>
      <c r="C37" s="19">
        <v>0</v>
      </c>
      <c r="D37" s="19">
        <f>G34+G35</f>
        <v>23.66</v>
      </c>
      <c r="E37" s="76">
        <f>D37*0.7423</f>
        <v>17.562818</v>
      </c>
      <c r="F37" s="21">
        <v>0</v>
      </c>
      <c r="G37" s="87">
        <f>SUM(G34:G35)</f>
        <v>23.66</v>
      </c>
    </row>
  </sheetData>
  <mergeCells count="6">
    <mergeCell ref="B32:G32"/>
    <mergeCell ref="B3:G3"/>
    <mergeCell ref="B4:G4"/>
    <mergeCell ref="B15:G15"/>
    <mergeCell ref="B16:G16"/>
    <mergeCell ref="B31:G31"/>
  </mergeCells>
  <pageMargins left="1.1811023622047245" right="0.78740157480314965" top="0.78740157480314965" bottom="0.78740157480314965" header="0" footer="0"/>
  <pageSetup paperSize="9" scale="75" orientation="portrait"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4"/>
  <dimension ref="B2:H39"/>
  <sheetViews>
    <sheetView view="pageBreakPreview" zoomScaleNormal="100" zoomScaleSheetLayoutView="100" workbookViewId="0">
      <selection activeCell="C36" sqref="C36"/>
    </sheetView>
  </sheetViews>
  <sheetFormatPr defaultRowHeight="15" x14ac:dyDescent="0.25"/>
  <cols>
    <col min="2" max="2" width="12.85546875" bestFit="1" customWidth="1"/>
    <col min="3" max="3" width="44.85546875" customWidth="1"/>
    <col min="4" max="4" width="12.7109375" bestFit="1" customWidth="1"/>
    <col min="5" max="5" width="10.140625" bestFit="1" customWidth="1"/>
    <col min="6" max="6" width="10.28515625" bestFit="1" customWidth="1"/>
    <col min="7" max="7" width="15.5703125" bestFit="1" customWidth="1"/>
    <col min="8" max="8" width="0" hidden="1" customWidth="1"/>
  </cols>
  <sheetData>
    <row r="2" spans="2:7" ht="15.75" hidden="1" thickBot="1" x14ac:dyDescent="0.3"/>
    <row r="3" spans="2:7" ht="16.5" hidden="1" thickBot="1" x14ac:dyDescent="0.3">
      <c r="B3" s="383" t="s">
        <v>60</v>
      </c>
      <c r="C3" s="384"/>
      <c r="D3" s="384"/>
      <c r="E3" s="384"/>
      <c r="F3" s="384"/>
      <c r="G3" s="385"/>
    </row>
    <row r="4" spans="2:7" ht="60" hidden="1" customHeight="1" thickBot="1" x14ac:dyDescent="0.3">
      <c r="B4" s="380" t="s">
        <v>78</v>
      </c>
      <c r="C4" s="381"/>
      <c r="D4" s="381"/>
      <c r="E4" s="381"/>
      <c r="F4" s="381"/>
      <c r="G4" s="382"/>
    </row>
    <row r="5" spans="2:7" ht="15.75" hidden="1" thickBot="1" x14ac:dyDescent="0.3">
      <c r="B5" s="12" t="s">
        <v>34</v>
      </c>
      <c r="C5" s="13" t="s">
        <v>28</v>
      </c>
      <c r="D5" s="71" t="s">
        <v>29</v>
      </c>
      <c r="E5" s="71" t="s">
        <v>30</v>
      </c>
      <c r="F5" s="71" t="s">
        <v>31</v>
      </c>
      <c r="G5" s="72" t="s">
        <v>32</v>
      </c>
    </row>
    <row r="6" spans="2:7" hidden="1" x14ac:dyDescent="0.25">
      <c r="B6" s="10" t="s">
        <v>0</v>
      </c>
      <c r="C6" s="11" t="s">
        <v>88</v>
      </c>
      <c r="D6" s="70" t="s">
        <v>29</v>
      </c>
      <c r="E6" s="8">
        <v>1</v>
      </c>
      <c r="F6" s="8">
        <v>107.5</v>
      </c>
      <c r="G6" s="9">
        <v>107.5</v>
      </c>
    </row>
    <row r="7" spans="2:7" hidden="1" x14ac:dyDescent="0.25">
      <c r="B7" s="6" t="s">
        <v>83</v>
      </c>
      <c r="C7" s="5" t="s">
        <v>79</v>
      </c>
      <c r="D7" s="15" t="s">
        <v>87</v>
      </c>
      <c r="E7" s="1">
        <v>0.25</v>
      </c>
      <c r="F7" s="1">
        <v>4.05</v>
      </c>
      <c r="G7" s="9">
        <f>ROUND(E7*F7,2)</f>
        <v>1.01</v>
      </c>
    </row>
    <row r="8" spans="2:7" hidden="1" x14ac:dyDescent="0.25">
      <c r="B8" s="7" t="s">
        <v>84</v>
      </c>
      <c r="C8" s="5" t="s">
        <v>80</v>
      </c>
      <c r="D8" s="15" t="s">
        <v>87</v>
      </c>
      <c r="E8" s="1">
        <v>0.5</v>
      </c>
      <c r="F8" s="1">
        <v>4.05</v>
      </c>
      <c r="G8" s="9">
        <f>ROUND(E8*F8,2)</f>
        <v>2.0299999999999998</v>
      </c>
    </row>
    <row r="9" spans="2:7" hidden="1" x14ac:dyDescent="0.25">
      <c r="B9" s="6" t="s">
        <v>85</v>
      </c>
      <c r="C9" s="5" t="s">
        <v>81</v>
      </c>
      <c r="D9" s="15" t="s">
        <v>87</v>
      </c>
      <c r="E9" s="1">
        <v>0.5</v>
      </c>
      <c r="F9" s="1">
        <v>1.83</v>
      </c>
      <c r="G9" s="9">
        <f>ROUND(E9*F9,2)</f>
        <v>0.92</v>
      </c>
    </row>
    <row r="10" spans="2:7" ht="15.75" hidden="1" thickBot="1" x14ac:dyDescent="0.3">
      <c r="B10" s="6" t="s">
        <v>86</v>
      </c>
      <c r="C10" s="4" t="s">
        <v>82</v>
      </c>
      <c r="D10" s="15" t="s">
        <v>87</v>
      </c>
      <c r="E10" s="1">
        <v>0.25</v>
      </c>
      <c r="F10" s="1">
        <v>2.0099999999999998</v>
      </c>
      <c r="G10" s="9">
        <f>ROUND(E10*F10,2)</f>
        <v>0.5</v>
      </c>
    </row>
    <row r="11" spans="2:7" hidden="1" x14ac:dyDescent="0.25">
      <c r="B11" s="16" t="s">
        <v>41</v>
      </c>
      <c r="C11" s="24" t="s">
        <v>42</v>
      </c>
      <c r="D11" s="17" t="s">
        <v>43</v>
      </c>
      <c r="E11" s="17" t="s">
        <v>44</v>
      </c>
      <c r="F11" s="20" t="s">
        <v>45</v>
      </c>
      <c r="G11" s="22" t="s">
        <v>46</v>
      </c>
    </row>
    <row r="12" spans="2:7" ht="15.75" hidden="1" thickBot="1" x14ac:dyDescent="0.3">
      <c r="B12" s="18">
        <v>0</v>
      </c>
      <c r="C12" s="19">
        <f>G6</f>
        <v>107.5</v>
      </c>
      <c r="D12" s="19">
        <f>SUM(G7:G8)</f>
        <v>3.04</v>
      </c>
      <c r="E12" s="19">
        <f>SUM(G9:G10)</f>
        <v>1.42</v>
      </c>
      <c r="F12" s="21">
        <v>0</v>
      </c>
      <c r="G12" s="23">
        <f>SUM(G6:G10)</f>
        <v>111.96000000000001</v>
      </c>
    </row>
    <row r="13" spans="2:7" hidden="1" x14ac:dyDescent="0.25"/>
    <row r="14" spans="2:7" ht="15.75" hidden="1" thickBot="1" x14ac:dyDescent="0.3"/>
    <row r="15" spans="2:7" ht="16.5" hidden="1" thickBot="1" x14ac:dyDescent="0.3">
      <c r="B15" s="383" t="s">
        <v>60</v>
      </c>
      <c r="C15" s="384"/>
      <c r="D15" s="384"/>
      <c r="E15" s="384"/>
      <c r="F15" s="384"/>
      <c r="G15" s="385"/>
    </row>
    <row r="16" spans="2:7" ht="61.5" hidden="1" customHeight="1" thickBot="1" x14ac:dyDescent="0.3">
      <c r="B16" s="380" t="s">
        <v>89</v>
      </c>
      <c r="C16" s="381"/>
      <c r="D16" s="381"/>
      <c r="E16" s="381"/>
      <c r="F16" s="381"/>
      <c r="G16" s="382"/>
    </row>
    <row r="17" spans="2:7" ht="15.75" hidden="1" thickBot="1" x14ac:dyDescent="0.3">
      <c r="B17" s="12" t="s">
        <v>34</v>
      </c>
      <c r="C17" s="13" t="s">
        <v>28</v>
      </c>
      <c r="D17" s="71" t="s">
        <v>29</v>
      </c>
      <c r="E17" s="71" t="s">
        <v>30</v>
      </c>
      <c r="F17" s="71" t="s">
        <v>31</v>
      </c>
      <c r="G17" s="72" t="s">
        <v>32</v>
      </c>
    </row>
    <row r="18" spans="2:7" ht="15.75" hidden="1" customHeight="1" x14ac:dyDescent="0.25">
      <c r="B18" s="10" t="s">
        <v>0</v>
      </c>
      <c r="C18" s="11" t="s">
        <v>90</v>
      </c>
      <c r="D18" s="70" t="s">
        <v>29</v>
      </c>
      <c r="E18" s="8">
        <v>1</v>
      </c>
      <c r="F18" s="8">
        <v>107.5</v>
      </c>
      <c r="G18" s="9">
        <v>302.57</v>
      </c>
    </row>
    <row r="19" spans="2:7" hidden="1" x14ac:dyDescent="0.25">
      <c r="B19" s="6" t="s">
        <v>83</v>
      </c>
      <c r="C19" s="5" t="s">
        <v>79</v>
      </c>
      <c r="D19" s="15" t="s">
        <v>87</v>
      </c>
      <c r="E19" s="1">
        <v>0.25</v>
      </c>
      <c r="F19" s="1">
        <v>4.05</v>
      </c>
      <c r="G19" s="9">
        <f>ROUND(E19*F19,2)</f>
        <v>1.01</v>
      </c>
    </row>
    <row r="20" spans="2:7" hidden="1" x14ac:dyDescent="0.25">
      <c r="B20" s="7" t="s">
        <v>84</v>
      </c>
      <c r="C20" s="5" t="s">
        <v>80</v>
      </c>
      <c r="D20" s="15" t="s">
        <v>87</v>
      </c>
      <c r="E20" s="1">
        <v>0.5</v>
      </c>
      <c r="F20" s="1">
        <v>4.05</v>
      </c>
      <c r="G20" s="9">
        <f>ROUND(E20*F20,2)</f>
        <v>2.0299999999999998</v>
      </c>
    </row>
    <row r="21" spans="2:7" hidden="1" x14ac:dyDescent="0.25">
      <c r="B21" s="6" t="s">
        <v>85</v>
      </c>
      <c r="C21" s="5" t="s">
        <v>81</v>
      </c>
      <c r="D21" s="15" t="s">
        <v>87</v>
      </c>
      <c r="E21" s="1">
        <v>0.5</v>
      </c>
      <c r="F21" s="1">
        <v>1.83</v>
      </c>
      <c r="G21" s="9">
        <f>ROUND(E21*F21,2)</f>
        <v>0.92</v>
      </c>
    </row>
    <row r="22" spans="2:7" ht="15.75" hidden="1" thickBot="1" x14ac:dyDescent="0.3">
      <c r="B22" s="6" t="s">
        <v>86</v>
      </c>
      <c r="C22" s="4" t="s">
        <v>82</v>
      </c>
      <c r="D22" s="15" t="s">
        <v>87</v>
      </c>
      <c r="E22" s="1">
        <v>0.25</v>
      </c>
      <c r="F22" s="1">
        <v>2.0099999999999998</v>
      </c>
      <c r="G22" s="9">
        <f>ROUND(E22*F22,2)</f>
        <v>0.5</v>
      </c>
    </row>
    <row r="23" spans="2:7" hidden="1" x14ac:dyDescent="0.25">
      <c r="B23" s="16" t="s">
        <v>41</v>
      </c>
      <c r="C23" s="24" t="s">
        <v>42</v>
      </c>
      <c r="D23" s="17" t="s">
        <v>43</v>
      </c>
      <c r="E23" s="17" t="s">
        <v>44</v>
      </c>
      <c r="F23" s="20" t="s">
        <v>45</v>
      </c>
      <c r="G23" s="22" t="s">
        <v>46</v>
      </c>
    </row>
    <row r="24" spans="2:7" ht="15.75" hidden="1" thickBot="1" x14ac:dyDescent="0.3">
      <c r="B24" s="18">
        <v>0</v>
      </c>
      <c r="C24" s="19">
        <f>G18</f>
        <v>302.57</v>
      </c>
      <c r="D24" s="19">
        <f>SUM(G19:G20)</f>
        <v>3.04</v>
      </c>
      <c r="E24" s="19">
        <f>SUM(G21:G22)</f>
        <v>1.42</v>
      </c>
      <c r="F24" s="21">
        <v>0</v>
      </c>
      <c r="G24" s="23">
        <f>SUM(G18:G22)</f>
        <v>307.02999999999997</v>
      </c>
    </row>
    <row r="25" spans="2:7" hidden="1" x14ac:dyDescent="0.25"/>
    <row r="26" spans="2:7" hidden="1" x14ac:dyDescent="0.25"/>
    <row r="30" spans="2:7" ht="15.75" thickBot="1" x14ac:dyDescent="0.3"/>
    <row r="31" spans="2:7" ht="16.5" thickBot="1" x14ac:dyDescent="0.3">
      <c r="B31" s="383" t="s">
        <v>60</v>
      </c>
      <c r="C31" s="384"/>
      <c r="D31" s="384"/>
      <c r="E31" s="384"/>
      <c r="F31" s="384"/>
      <c r="G31" s="385"/>
    </row>
    <row r="32" spans="2:7" ht="65.25" customHeight="1" thickBot="1" x14ac:dyDescent="0.3">
      <c r="B32" s="380" t="s">
        <v>152</v>
      </c>
      <c r="C32" s="381"/>
      <c r="D32" s="381"/>
      <c r="E32" s="381"/>
      <c r="F32" s="381"/>
      <c r="G32" s="382"/>
    </row>
    <row r="33" spans="2:8" ht="15.75" thickBot="1" x14ac:dyDescent="0.3">
      <c r="B33" s="12" t="s">
        <v>34</v>
      </c>
      <c r="C33" s="13" t="s">
        <v>28</v>
      </c>
      <c r="D33" s="71" t="s">
        <v>29</v>
      </c>
      <c r="E33" s="71" t="s">
        <v>30</v>
      </c>
      <c r="F33" s="71" t="s">
        <v>31</v>
      </c>
      <c r="G33" s="72" t="s">
        <v>32</v>
      </c>
    </row>
    <row r="34" spans="2:8" x14ac:dyDescent="0.25">
      <c r="B34" s="6" t="s">
        <v>125</v>
      </c>
      <c r="C34" s="5" t="s">
        <v>124</v>
      </c>
      <c r="D34" s="15" t="s">
        <v>95</v>
      </c>
      <c r="E34" s="2">
        <v>2</v>
      </c>
      <c r="F34" s="85">
        <f>H34*0.97</f>
        <v>0.37830000000000003</v>
      </c>
      <c r="G34" s="29">
        <f>ROUND(E34*F34,2)</f>
        <v>0.76</v>
      </c>
      <c r="H34" s="1">
        <v>0.39</v>
      </c>
    </row>
    <row r="35" spans="2:8" x14ac:dyDescent="0.25">
      <c r="B35" s="6" t="s">
        <v>127</v>
      </c>
      <c r="C35" s="5" t="s">
        <v>120</v>
      </c>
      <c r="D35" s="15" t="s">
        <v>105</v>
      </c>
      <c r="E35" s="1">
        <v>5.0000000000000001E-3</v>
      </c>
      <c r="F35" s="85">
        <f>H35*0.97</f>
        <v>58.199999999999996</v>
      </c>
      <c r="G35" s="29">
        <f>ROUND(E35*F35,2)</f>
        <v>0.28999999999999998</v>
      </c>
      <c r="H35" s="1">
        <v>60</v>
      </c>
    </row>
    <row r="36" spans="2:8" x14ac:dyDescent="0.25">
      <c r="B36" s="93" t="s">
        <v>191</v>
      </c>
      <c r="C36" s="5" t="s">
        <v>193</v>
      </c>
      <c r="D36" s="15" t="s">
        <v>87</v>
      </c>
      <c r="E36" s="1">
        <v>0.15</v>
      </c>
      <c r="F36" s="61">
        <v>5.0599999999999996</v>
      </c>
      <c r="G36" s="9">
        <f>ROUND(E36*F36,2)</f>
        <v>0.76</v>
      </c>
      <c r="H36" s="1">
        <v>1.83</v>
      </c>
    </row>
    <row r="37" spans="2:8" ht="15.75" thickBot="1" x14ac:dyDescent="0.3">
      <c r="B37" s="92" t="s">
        <v>192</v>
      </c>
      <c r="C37" s="5" t="s">
        <v>194</v>
      </c>
      <c r="D37" s="15" t="s">
        <v>87</v>
      </c>
      <c r="E37" s="1">
        <v>0.16</v>
      </c>
      <c r="F37" s="61">
        <v>3.41</v>
      </c>
      <c r="G37" s="9">
        <f>ROUND(E37*F37,2)</f>
        <v>0.55000000000000004</v>
      </c>
      <c r="H37" s="1">
        <v>1.78</v>
      </c>
    </row>
    <row r="38" spans="2:8" x14ac:dyDescent="0.25">
      <c r="B38" s="16" t="s">
        <v>41</v>
      </c>
      <c r="C38" s="24" t="s">
        <v>42</v>
      </c>
      <c r="D38" s="17" t="s">
        <v>43</v>
      </c>
      <c r="E38" s="17" t="s">
        <v>44</v>
      </c>
      <c r="F38" s="20" t="s">
        <v>45</v>
      </c>
      <c r="G38" s="22" t="s">
        <v>46</v>
      </c>
    </row>
    <row r="39" spans="2:8" ht="15.75" thickBot="1" x14ac:dyDescent="0.3">
      <c r="B39" s="18">
        <v>0</v>
      </c>
      <c r="C39" s="94">
        <f>G34+G35</f>
        <v>1.05</v>
      </c>
      <c r="D39" s="19">
        <f>G36+G37</f>
        <v>1.31</v>
      </c>
      <c r="E39" s="94">
        <f>D39*0.7431</f>
        <v>0.97346100000000002</v>
      </c>
      <c r="F39" s="21">
        <v>0</v>
      </c>
      <c r="G39" s="87">
        <f>SUM(G34:G37)+0.01</f>
        <v>2.37</v>
      </c>
    </row>
  </sheetData>
  <mergeCells count="6">
    <mergeCell ref="B32:G32"/>
    <mergeCell ref="B3:G3"/>
    <mergeCell ref="B4:G4"/>
    <mergeCell ref="B15:G15"/>
    <mergeCell ref="B16:G16"/>
    <mergeCell ref="B31:G31"/>
  </mergeCells>
  <pageMargins left="1.1811023622047245" right="0.78740157480314965" top="0.78740157480314965" bottom="0.78740157480314965" header="0" footer="0"/>
  <pageSetup paperSize="9" scale="75" orientation="portrait"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5"/>
  <dimension ref="B2:H40"/>
  <sheetViews>
    <sheetView view="pageBreakPreview" topLeftCell="A26" zoomScaleNormal="100" zoomScaleSheetLayoutView="100" workbookViewId="0">
      <selection activeCell="E37" sqref="E37"/>
    </sheetView>
  </sheetViews>
  <sheetFormatPr defaultRowHeight="15" x14ac:dyDescent="0.25"/>
  <cols>
    <col min="2" max="2" width="12.85546875" bestFit="1" customWidth="1"/>
    <col min="3" max="3" width="44.85546875" customWidth="1"/>
    <col min="4" max="4" width="12.7109375" bestFit="1" customWidth="1"/>
    <col min="5" max="5" width="10.140625" bestFit="1" customWidth="1"/>
    <col min="6" max="6" width="10.28515625" bestFit="1" customWidth="1"/>
    <col min="7" max="7" width="15.5703125" bestFit="1" customWidth="1"/>
    <col min="8" max="8" width="0" hidden="1" customWidth="1"/>
  </cols>
  <sheetData>
    <row r="2" spans="2:7" ht="15.75" thickBot="1" x14ac:dyDescent="0.3"/>
    <row r="3" spans="2:7" ht="16.5" thickBot="1" x14ac:dyDescent="0.3">
      <c r="B3" s="383" t="s">
        <v>60</v>
      </c>
      <c r="C3" s="384"/>
      <c r="D3" s="384"/>
      <c r="E3" s="384"/>
      <c r="F3" s="384"/>
      <c r="G3" s="385"/>
    </row>
    <row r="4" spans="2:7" ht="60" customHeight="1" thickBot="1" x14ac:dyDescent="0.3">
      <c r="B4" s="380" t="s">
        <v>78</v>
      </c>
      <c r="C4" s="381"/>
      <c r="D4" s="381"/>
      <c r="E4" s="381"/>
      <c r="F4" s="381"/>
      <c r="G4" s="382"/>
    </row>
    <row r="5" spans="2:7" ht="15.75" thickBot="1" x14ac:dyDescent="0.3">
      <c r="B5" s="12" t="s">
        <v>34</v>
      </c>
      <c r="C5" s="13" t="s">
        <v>28</v>
      </c>
      <c r="D5" s="71" t="s">
        <v>29</v>
      </c>
      <c r="E5" s="71" t="s">
        <v>30</v>
      </c>
      <c r="F5" s="71" t="s">
        <v>31</v>
      </c>
      <c r="G5" s="72" t="s">
        <v>32</v>
      </c>
    </row>
    <row r="6" spans="2:7" x14ac:dyDescent="0.25">
      <c r="B6" s="10" t="s">
        <v>0</v>
      </c>
      <c r="C6" s="11" t="s">
        <v>88</v>
      </c>
      <c r="D6" s="70" t="s">
        <v>29</v>
      </c>
      <c r="E6" s="8">
        <v>1</v>
      </c>
      <c r="F6" s="8">
        <v>107.5</v>
      </c>
      <c r="G6" s="9">
        <v>107.5</v>
      </c>
    </row>
    <row r="7" spans="2:7" x14ac:dyDescent="0.25">
      <c r="B7" s="6" t="s">
        <v>83</v>
      </c>
      <c r="C7" s="5" t="s">
        <v>79</v>
      </c>
      <c r="D7" s="15" t="s">
        <v>87</v>
      </c>
      <c r="E7" s="1">
        <v>0.25</v>
      </c>
      <c r="F7" s="1">
        <v>4.05</v>
      </c>
      <c r="G7" s="9">
        <f>ROUND(E7*F7,2)</f>
        <v>1.01</v>
      </c>
    </row>
    <row r="8" spans="2:7" x14ac:dyDescent="0.25">
      <c r="B8" s="7" t="s">
        <v>84</v>
      </c>
      <c r="C8" s="5" t="s">
        <v>80</v>
      </c>
      <c r="D8" s="15" t="s">
        <v>87</v>
      </c>
      <c r="E8" s="1">
        <v>0.5</v>
      </c>
      <c r="F8" s="1">
        <v>4.05</v>
      </c>
      <c r="G8" s="9">
        <f>ROUND(E8*F8,2)</f>
        <v>2.0299999999999998</v>
      </c>
    </row>
    <row r="9" spans="2:7" x14ac:dyDescent="0.25">
      <c r="B9" s="6" t="s">
        <v>85</v>
      </c>
      <c r="C9" s="5" t="s">
        <v>81</v>
      </c>
      <c r="D9" s="15" t="s">
        <v>87</v>
      </c>
      <c r="E9" s="1">
        <v>0.5</v>
      </c>
      <c r="F9" s="1">
        <v>1.83</v>
      </c>
      <c r="G9" s="9">
        <f>ROUND(E9*F9,2)</f>
        <v>0.92</v>
      </c>
    </row>
    <row r="10" spans="2:7" ht="15.75" thickBot="1" x14ac:dyDescent="0.3">
      <c r="B10" s="6" t="s">
        <v>86</v>
      </c>
      <c r="C10" s="4" t="s">
        <v>82</v>
      </c>
      <c r="D10" s="15" t="s">
        <v>87</v>
      </c>
      <c r="E10" s="1">
        <v>0.25</v>
      </c>
      <c r="F10" s="1">
        <v>2.0099999999999998</v>
      </c>
      <c r="G10" s="9">
        <f>ROUND(E10*F10,2)</f>
        <v>0.5</v>
      </c>
    </row>
    <row r="11" spans="2:7" x14ac:dyDescent="0.25">
      <c r="B11" s="16" t="s">
        <v>41</v>
      </c>
      <c r="C11" s="24" t="s">
        <v>42</v>
      </c>
      <c r="D11" s="17" t="s">
        <v>43</v>
      </c>
      <c r="E11" s="17" t="s">
        <v>44</v>
      </c>
      <c r="F11" s="20" t="s">
        <v>45</v>
      </c>
      <c r="G11" s="22" t="s">
        <v>46</v>
      </c>
    </row>
    <row r="12" spans="2:7" ht="15.75" thickBot="1" x14ac:dyDescent="0.3">
      <c r="B12" s="18">
        <v>0</v>
      </c>
      <c r="C12" s="19">
        <f>G6</f>
        <v>107.5</v>
      </c>
      <c r="D12" s="19">
        <f>SUM(G7:G8)</f>
        <v>3.04</v>
      </c>
      <c r="E12" s="19">
        <f>SUM(G9:G10)</f>
        <v>1.42</v>
      </c>
      <c r="F12" s="21">
        <v>0</v>
      </c>
      <c r="G12" s="23">
        <f>SUM(G6:G10)</f>
        <v>111.96000000000001</v>
      </c>
    </row>
    <row r="14" spans="2:7" ht="15.75" thickBot="1" x14ac:dyDescent="0.3"/>
    <row r="15" spans="2:7" ht="16.5" thickBot="1" x14ac:dyDescent="0.3">
      <c r="B15" s="383" t="s">
        <v>60</v>
      </c>
      <c r="C15" s="384"/>
      <c r="D15" s="384"/>
      <c r="E15" s="384"/>
      <c r="F15" s="384"/>
      <c r="G15" s="385"/>
    </row>
    <row r="16" spans="2:7" ht="61.5" customHeight="1" thickBot="1" x14ac:dyDescent="0.3">
      <c r="B16" s="380" t="s">
        <v>89</v>
      </c>
      <c r="C16" s="381"/>
      <c r="D16" s="381"/>
      <c r="E16" s="381"/>
      <c r="F16" s="381"/>
      <c r="G16" s="382"/>
    </row>
    <row r="17" spans="2:7" ht="15.75" thickBot="1" x14ac:dyDescent="0.3">
      <c r="B17" s="12" t="s">
        <v>34</v>
      </c>
      <c r="C17" s="13" t="s">
        <v>28</v>
      </c>
      <c r="D17" s="71" t="s">
        <v>29</v>
      </c>
      <c r="E17" s="71" t="s">
        <v>30</v>
      </c>
      <c r="F17" s="71" t="s">
        <v>31</v>
      </c>
      <c r="G17" s="72" t="s">
        <v>32</v>
      </c>
    </row>
    <row r="18" spans="2:7" ht="15.75" customHeight="1" x14ac:dyDescent="0.25">
      <c r="B18" s="10" t="s">
        <v>0</v>
      </c>
      <c r="C18" s="11" t="s">
        <v>90</v>
      </c>
      <c r="D18" s="70" t="s">
        <v>29</v>
      </c>
      <c r="E18" s="8">
        <v>1</v>
      </c>
      <c r="F18" s="8">
        <v>107.5</v>
      </c>
      <c r="G18" s="9">
        <v>302.57</v>
      </c>
    </row>
    <row r="19" spans="2:7" x14ac:dyDescent="0.25">
      <c r="B19" s="6" t="s">
        <v>83</v>
      </c>
      <c r="C19" s="5" t="s">
        <v>79</v>
      </c>
      <c r="D19" s="15" t="s">
        <v>87</v>
      </c>
      <c r="E19" s="1">
        <v>0.25</v>
      </c>
      <c r="F19" s="1">
        <v>4.05</v>
      </c>
      <c r="G19" s="9">
        <f>ROUND(E19*F19,2)</f>
        <v>1.01</v>
      </c>
    </row>
    <row r="20" spans="2:7" x14ac:dyDescent="0.25">
      <c r="B20" s="7" t="s">
        <v>84</v>
      </c>
      <c r="C20" s="5" t="s">
        <v>80</v>
      </c>
      <c r="D20" s="15" t="s">
        <v>87</v>
      </c>
      <c r="E20" s="1">
        <v>0.5</v>
      </c>
      <c r="F20" s="1">
        <v>4.05</v>
      </c>
      <c r="G20" s="9">
        <f>ROUND(E20*F20,2)</f>
        <v>2.0299999999999998</v>
      </c>
    </row>
    <row r="21" spans="2:7" x14ac:dyDescent="0.25">
      <c r="B21" s="6" t="s">
        <v>85</v>
      </c>
      <c r="C21" s="5" t="s">
        <v>81</v>
      </c>
      <c r="D21" s="15" t="s">
        <v>87</v>
      </c>
      <c r="E21" s="1">
        <v>0.5</v>
      </c>
      <c r="F21" s="1">
        <v>1.83</v>
      </c>
      <c r="G21" s="9">
        <f>ROUND(E21*F21,2)</f>
        <v>0.92</v>
      </c>
    </row>
    <row r="22" spans="2:7" ht="15.75" thickBot="1" x14ac:dyDescent="0.3">
      <c r="B22" s="6" t="s">
        <v>86</v>
      </c>
      <c r="C22" s="4" t="s">
        <v>82</v>
      </c>
      <c r="D22" s="15" t="s">
        <v>87</v>
      </c>
      <c r="E22" s="1">
        <v>0.25</v>
      </c>
      <c r="F22" s="1">
        <v>2.0099999999999998</v>
      </c>
      <c r="G22" s="9">
        <f>ROUND(E22*F22,2)</f>
        <v>0.5</v>
      </c>
    </row>
    <row r="23" spans="2:7" x14ac:dyDescent="0.25">
      <c r="B23" s="16" t="s">
        <v>41</v>
      </c>
      <c r="C23" s="24" t="s">
        <v>42</v>
      </c>
      <c r="D23" s="17" t="s">
        <v>43</v>
      </c>
      <c r="E23" s="17" t="s">
        <v>44</v>
      </c>
      <c r="F23" s="20" t="s">
        <v>45</v>
      </c>
      <c r="G23" s="22" t="s">
        <v>46</v>
      </c>
    </row>
    <row r="24" spans="2:7" ht="15.75" thickBot="1" x14ac:dyDescent="0.3">
      <c r="B24" s="18">
        <v>0</v>
      </c>
      <c r="C24" s="19">
        <f>G18</f>
        <v>302.57</v>
      </c>
      <c r="D24" s="19">
        <f>SUM(G19:G20)</f>
        <v>3.04</v>
      </c>
      <c r="E24" s="19">
        <f>SUM(G21:G22)</f>
        <v>1.42</v>
      </c>
      <c r="F24" s="21">
        <v>0</v>
      </c>
      <c r="G24" s="23">
        <f>SUM(G18:G22)</f>
        <v>307.02999999999997</v>
      </c>
    </row>
    <row r="30" spans="2:7" ht="15.75" thickBot="1" x14ac:dyDescent="0.3"/>
    <row r="31" spans="2:7" ht="16.5" thickBot="1" x14ac:dyDescent="0.3">
      <c r="B31" s="383" t="s">
        <v>60</v>
      </c>
      <c r="C31" s="384"/>
      <c r="D31" s="384"/>
      <c r="E31" s="384"/>
      <c r="F31" s="384"/>
      <c r="G31" s="385"/>
    </row>
    <row r="32" spans="2:7" ht="65.25" customHeight="1" thickBot="1" x14ac:dyDescent="0.3">
      <c r="B32" s="380" t="s">
        <v>153</v>
      </c>
      <c r="C32" s="381"/>
      <c r="D32" s="381"/>
      <c r="E32" s="381"/>
      <c r="F32" s="381"/>
      <c r="G32" s="382"/>
    </row>
    <row r="33" spans="2:8" ht="15.75" thickBot="1" x14ac:dyDescent="0.3">
      <c r="B33" s="12" t="s">
        <v>34</v>
      </c>
      <c r="C33" s="13" t="s">
        <v>28</v>
      </c>
      <c r="D33" s="71" t="s">
        <v>29</v>
      </c>
      <c r="E33" s="71" t="s">
        <v>30</v>
      </c>
      <c r="F33" s="71" t="s">
        <v>31</v>
      </c>
      <c r="G33" s="72" t="s">
        <v>32</v>
      </c>
    </row>
    <row r="34" spans="2:8" x14ac:dyDescent="0.25">
      <c r="B34" s="6" t="s">
        <v>125</v>
      </c>
      <c r="C34" s="5" t="s">
        <v>124</v>
      </c>
      <c r="D34" s="15" t="s">
        <v>95</v>
      </c>
      <c r="E34" s="2">
        <v>2</v>
      </c>
      <c r="F34" s="85">
        <f>H34*0.97</f>
        <v>0.37830000000000003</v>
      </c>
      <c r="G34" s="29">
        <f>ROUND(E34*F34,2)</f>
        <v>0.76</v>
      </c>
      <c r="H34" s="1">
        <v>0.39</v>
      </c>
    </row>
    <row r="35" spans="2:8" x14ac:dyDescent="0.25">
      <c r="B35" s="6" t="s">
        <v>127</v>
      </c>
      <c r="C35" s="5" t="s">
        <v>120</v>
      </c>
      <c r="D35" s="15" t="s">
        <v>105</v>
      </c>
      <c r="E35" s="1">
        <v>5.0000000000000001E-3</v>
      </c>
      <c r="F35" s="85">
        <f>H35*0.97</f>
        <v>58.199999999999996</v>
      </c>
      <c r="G35" s="29">
        <f>ROUND(E35*F35,2)</f>
        <v>0.28999999999999998</v>
      </c>
      <c r="H35" s="1">
        <v>60</v>
      </c>
    </row>
    <row r="36" spans="2:8" x14ac:dyDescent="0.25">
      <c r="B36" s="75" t="s">
        <v>190</v>
      </c>
      <c r="C36" s="5" t="s">
        <v>203</v>
      </c>
      <c r="D36" s="15" t="s">
        <v>87</v>
      </c>
      <c r="E36" s="2">
        <v>1.45</v>
      </c>
      <c r="F36" s="85">
        <f>H36*0.97</f>
        <v>10.3111</v>
      </c>
      <c r="G36" s="86">
        <f>ROUND(E36*F36,2)</f>
        <v>14.95</v>
      </c>
      <c r="H36" s="1">
        <v>10.63</v>
      </c>
    </row>
    <row r="37" spans="2:8" x14ac:dyDescent="0.25">
      <c r="B37" s="93" t="s">
        <v>191</v>
      </c>
      <c r="C37" s="5" t="s">
        <v>193</v>
      </c>
      <c r="D37" s="15" t="s">
        <v>87</v>
      </c>
      <c r="E37" s="1">
        <v>0.15</v>
      </c>
      <c r="F37" s="61">
        <v>5.0599999999999996</v>
      </c>
      <c r="G37" s="9">
        <f>ROUND(E37*F37,2)</f>
        <v>0.76</v>
      </c>
      <c r="H37" s="1">
        <v>1.83</v>
      </c>
    </row>
    <row r="38" spans="2:8" ht="15.75" thickBot="1" x14ac:dyDescent="0.3">
      <c r="B38" s="92" t="s">
        <v>192</v>
      </c>
      <c r="C38" s="5" t="s">
        <v>194</v>
      </c>
      <c r="D38" s="15" t="s">
        <v>87</v>
      </c>
      <c r="E38" s="1">
        <v>1.02</v>
      </c>
      <c r="F38" s="61">
        <v>3.41</v>
      </c>
      <c r="G38" s="9">
        <f>ROUND(E38*F38,2)</f>
        <v>3.48</v>
      </c>
      <c r="H38" s="1">
        <v>1.78</v>
      </c>
    </row>
    <row r="39" spans="2:8" x14ac:dyDescent="0.25">
      <c r="B39" s="16" t="s">
        <v>41</v>
      </c>
      <c r="C39" s="24" t="s">
        <v>42</v>
      </c>
      <c r="D39" s="17" t="s">
        <v>43</v>
      </c>
      <c r="E39" s="17" t="s">
        <v>44</v>
      </c>
      <c r="F39" s="20" t="s">
        <v>45</v>
      </c>
      <c r="G39" s="22" t="s">
        <v>46</v>
      </c>
    </row>
    <row r="40" spans="2:8" ht="15.75" thickBot="1" x14ac:dyDescent="0.3">
      <c r="B40" s="18">
        <v>0</v>
      </c>
      <c r="C40" s="94">
        <f>G34+G35+G36</f>
        <v>16</v>
      </c>
      <c r="D40" s="19">
        <f>G37+G38</f>
        <v>4.24</v>
      </c>
      <c r="E40" s="94">
        <f>D40*0.7431</f>
        <v>3.150744</v>
      </c>
      <c r="F40" s="21">
        <v>0</v>
      </c>
      <c r="G40" s="87">
        <f>SUM(G34:G38)+0.01</f>
        <v>20.250000000000004</v>
      </c>
    </row>
  </sheetData>
  <mergeCells count="6">
    <mergeCell ref="B32:G32"/>
    <mergeCell ref="B3:G3"/>
    <mergeCell ref="B4:G4"/>
    <mergeCell ref="B15:G15"/>
    <mergeCell ref="B16:G16"/>
    <mergeCell ref="B31:G31"/>
  </mergeCells>
  <pageMargins left="1.1811023622047245" right="0.78740157480314965" top="0.78740157480314965" bottom="0.78740157480314965" header="0" footer="0"/>
  <pageSetup paperSize="9" scale="75" orientation="portrait" verticalDpi="3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6"/>
  <dimension ref="B2:H41"/>
  <sheetViews>
    <sheetView view="pageBreakPreview" topLeftCell="A29" zoomScaleNormal="100" zoomScaleSheetLayoutView="100" workbookViewId="0">
      <selection activeCell="E39" sqref="E39"/>
    </sheetView>
  </sheetViews>
  <sheetFormatPr defaultRowHeight="15" x14ac:dyDescent="0.25"/>
  <cols>
    <col min="2" max="2" width="12.85546875" bestFit="1" customWidth="1"/>
    <col min="3" max="3" width="44.85546875" customWidth="1"/>
    <col min="4" max="4" width="12.7109375" bestFit="1" customWidth="1"/>
    <col min="5" max="5" width="10.140625" bestFit="1" customWidth="1"/>
    <col min="6" max="6" width="10.28515625" bestFit="1" customWidth="1"/>
    <col min="7" max="7" width="15.5703125" bestFit="1" customWidth="1"/>
    <col min="8" max="8" width="0" hidden="1" customWidth="1"/>
  </cols>
  <sheetData>
    <row r="2" spans="2:7" ht="15.75" hidden="1" thickBot="1" x14ac:dyDescent="0.3"/>
    <row r="3" spans="2:7" ht="16.5" hidden="1" thickBot="1" x14ac:dyDescent="0.3">
      <c r="B3" s="383" t="s">
        <v>60</v>
      </c>
      <c r="C3" s="384"/>
      <c r="D3" s="384"/>
      <c r="E3" s="384"/>
      <c r="F3" s="384"/>
      <c r="G3" s="385"/>
    </row>
    <row r="4" spans="2:7" ht="60" hidden="1" customHeight="1" thickBot="1" x14ac:dyDescent="0.3">
      <c r="B4" s="380" t="s">
        <v>78</v>
      </c>
      <c r="C4" s="381"/>
      <c r="D4" s="381"/>
      <c r="E4" s="381"/>
      <c r="F4" s="381"/>
      <c r="G4" s="382"/>
    </row>
    <row r="5" spans="2:7" ht="15.75" hidden="1" thickBot="1" x14ac:dyDescent="0.3">
      <c r="B5" s="12" t="s">
        <v>34</v>
      </c>
      <c r="C5" s="13" t="s">
        <v>28</v>
      </c>
      <c r="D5" s="71" t="s">
        <v>29</v>
      </c>
      <c r="E5" s="71" t="s">
        <v>30</v>
      </c>
      <c r="F5" s="71" t="s">
        <v>31</v>
      </c>
      <c r="G5" s="72" t="s">
        <v>32</v>
      </c>
    </row>
    <row r="6" spans="2:7" hidden="1" x14ac:dyDescent="0.25">
      <c r="B6" s="10" t="s">
        <v>0</v>
      </c>
      <c r="C6" s="11" t="s">
        <v>88</v>
      </c>
      <c r="D6" s="70" t="s">
        <v>29</v>
      </c>
      <c r="E6" s="8">
        <v>1</v>
      </c>
      <c r="F6" s="8">
        <v>107.5</v>
      </c>
      <c r="G6" s="9">
        <v>107.5</v>
      </c>
    </row>
    <row r="7" spans="2:7" hidden="1" x14ac:dyDescent="0.25">
      <c r="B7" s="6" t="s">
        <v>83</v>
      </c>
      <c r="C7" s="5" t="s">
        <v>79</v>
      </c>
      <c r="D7" s="15" t="s">
        <v>87</v>
      </c>
      <c r="E7" s="1">
        <v>0.25</v>
      </c>
      <c r="F7" s="1">
        <v>4.05</v>
      </c>
      <c r="G7" s="9">
        <f>ROUND(E7*F7,2)</f>
        <v>1.01</v>
      </c>
    </row>
    <row r="8" spans="2:7" hidden="1" x14ac:dyDescent="0.25">
      <c r="B8" s="7" t="s">
        <v>84</v>
      </c>
      <c r="C8" s="5" t="s">
        <v>80</v>
      </c>
      <c r="D8" s="15" t="s">
        <v>87</v>
      </c>
      <c r="E8" s="1">
        <v>0.5</v>
      </c>
      <c r="F8" s="1">
        <v>4.05</v>
      </c>
      <c r="G8" s="9">
        <f>ROUND(E8*F8,2)</f>
        <v>2.0299999999999998</v>
      </c>
    </row>
    <row r="9" spans="2:7" hidden="1" x14ac:dyDescent="0.25">
      <c r="B9" s="6" t="s">
        <v>85</v>
      </c>
      <c r="C9" s="5" t="s">
        <v>81</v>
      </c>
      <c r="D9" s="15" t="s">
        <v>87</v>
      </c>
      <c r="E9" s="1">
        <v>0.5</v>
      </c>
      <c r="F9" s="1">
        <v>1.83</v>
      </c>
      <c r="G9" s="9">
        <f>ROUND(E9*F9,2)</f>
        <v>0.92</v>
      </c>
    </row>
    <row r="10" spans="2:7" ht="15.75" hidden="1" thickBot="1" x14ac:dyDescent="0.3">
      <c r="B10" s="6" t="s">
        <v>86</v>
      </c>
      <c r="C10" s="4" t="s">
        <v>82</v>
      </c>
      <c r="D10" s="15" t="s">
        <v>87</v>
      </c>
      <c r="E10" s="1">
        <v>0.25</v>
      </c>
      <c r="F10" s="1">
        <v>2.0099999999999998</v>
      </c>
      <c r="G10" s="9">
        <f>ROUND(E10*F10,2)</f>
        <v>0.5</v>
      </c>
    </row>
    <row r="11" spans="2:7" hidden="1" x14ac:dyDescent="0.25">
      <c r="B11" s="16" t="s">
        <v>41</v>
      </c>
      <c r="C11" s="24" t="s">
        <v>42</v>
      </c>
      <c r="D11" s="17" t="s">
        <v>43</v>
      </c>
      <c r="E11" s="17" t="s">
        <v>44</v>
      </c>
      <c r="F11" s="20" t="s">
        <v>45</v>
      </c>
      <c r="G11" s="22" t="s">
        <v>46</v>
      </c>
    </row>
    <row r="12" spans="2:7" ht="15.75" hidden="1" thickBot="1" x14ac:dyDescent="0.3">
      <c r="B12" s="18">
        <v>0</v>
      </c>
      <c r="C12" s="19">
        <f>G6</f>
        <v>107.5</v>
      </c>
      <c r="D12" s="19">
        <f>SUM(G7:G8)</f>
        <v>3.04</v>
      </c>
      <c r="E12" s="19">
        <f>SUM(G9:G10)</f>
        <v>1.42</v>
      </c>
      <c r="F12" s="21">
        <v>0</v>
      </c>
      <c r="G12" s="23">
        <f>SUM(G6:G10)</f>
        <v>111.96000000000001</v>
      </c>
    </row>
    <row r="13" spans="2:7" hidden="1" x14ac:dyDescent="0.25"/>
    <row r="14" spans="2:7" ht="15.75" hidden="1" thickBot="1" x14ac:dyDescent="0.3"/>
    <row r="15" spans="2:7" ht="16.5" hidden="1" thickBot="1" x14ac:dyDescent="0.3">
      <c r="B15" s="383" t="s">
        <v>60</v>
      </c>
      <c r="C15" s="384"/>
      <c r="D15" s="384"/>
      <c r="E15" s="384"/>
      <c r="F15" s="384"/>
      <c r="G15" s="385"/>
    </row>
    <row r="16" spans="2:7" ht="61.5" hidden="1" customHeight="1" thickBot="1" x14ac:dyDescent="0.3">
      <c r="B16" s="380" t="s">
        <v>89</v>
      </c>
      <c r="C16" s="381"/>
      <c r="D16" s="381"/>
      <c r="E16" s="381"/>
      <c r="F16" s="381"/>
      <c r="G16" s="382"/>
    </row>
    <row r="17" spans="2:7" ht="15.75" hidden="1" thickBot="1" x14ac:dyDescent="0.3">
      <c r="B17" s="12" t="s">
        <v>34</v>
      </c>
      <c r="C17" s="13" t="s">
        <v>28</v>
      </c>
      <c r="D17" s="71" t="s">
        <v>29</v>
      </c>
      <c r="E17" s="71" t="s">
        <v>30</v>
      </c>
      <c r="F17" s="71" t="s">
        <v>31</v>
      </c>
      <c r="G17" s="72" t="s">
        <v>32</v>
      </c>
    </row>
    <row r="18" spans="2:7" ht="15.75" hidden="1" customHeight="1" x14ac:dyDescent="0.25">
      <c r="B18" s="10" t="s">
        <v>0</v>
      </c>
      <c r="C18" s="11" t="s">
        <v>90</v>
      </c>
      <c r="D18" s="70" t="s">
        <v>29</v>
      </c>
      <c r="E18" s="8">
        <v>1</v>
      </c>
      <c r="F18" s="8">
        <v>107.5</v>
      </c>
      <c r="G18" s="9">
        <v>302.57</v>
      </c>
    </row>
    <row r="19" spans="2:7" hidden="1" x14ac:dyDescent="0.25">
      <c r="B19" s="6" t="s">
        <v>83</v>
      </c>
      <c r="C19" s="5" t="s">
        <v>79</v>
      </c>
      <c r="D19" s="15" t="s">
        <v>87</v>
      </c>
      <c r="E19" s="1">
        <v>0.25</v>
      </c>
      <c r="F19" s="1">
        <v>4.05</v>
      </c>
      <c r="G19" s="9">
        <f>ROUND(E19*F19,2)</f>
        <v>1.01</v>
      </c>
    </row>
    <row r="20" spans="2:7" hidden="1" x14ac:dyDescent="0.25">
      <c r="B20" s="7" t="s">
        <v>84</v>
      </c>
      <c r="C20" s="5" t="s">
        <v>80</v>
      </c>
      <c r="D20" s="15" t="s">
        <v>87</v>
      </c>
      <c r="E20" s="1">
        <v>0.5</v>
      </c>
      <c r="F20" s="1">
        <v>4.05</v>
      </c>
      <c r="G20" s="9">
        <f>ROUND(E20*F20,2)</f>
        <v>2.0299999999999998</v>
      </c>
    </row>
    <row r="21" spans="2:7" hidden="1" x14ac:dyDescent="0.25">
      <c r="B21" s="6" t="s">
        <v>85</v>
      </c>
      <c r="C21" s="5" t="s">
        <v>81</v>
      </c>
      <c r="D21" s="15" t="s">
        <v>87</v>
      </c>
      <c r="E21" s="1">
        <v>0.5</v>
      </c>
      <c r="F21" s="1">
        <v>1.83</v>
      </c>
      <c r="G21" s="9">
        <f>ROUND(E21*F21,2)</f>
        <v>0.92</v>
      </c>
    </row>
    <row r="22" spans="2:7" ht="15.75" hidden="1" thickBot="1" x14ac:dyDescent="0.3">
      <c r="B22" s="6" t="s">
        <v>86</v>
      </c>
      <c r="C22" s="4" t="s">
        <v>82</v>
      </c>
      <c r="D22" s="15" t="s">
        <v>87</v>
      </c>
      <c r="E22" s="1">
        <v>0.25</v>
      </c>
      <c r="F22" s="1">
        <v>2.0099999999999998</v>
      </c>
      <c r="G22" s="9">
        <f>ROUND(E22*F22,2)</f>
        <v>0.5</v>
      </c>
    </row>
    <row r="23" spans="2:7" hidden="1" x14ac:dyDescent="0.25">
      <c r="B23" s="16" t="s">
        <v>41</v>
      </c>
      <c r="C23" s="24" t="s">
        <v>42</v>
      </c>
      <c r="D23" s="17" t="s">
        <v>43</v>
      </c>
      <c r="E23" s="17" t="s">
        <v>44</v>
      </c>
      <c r="F23" s="20" t="s">
        <v>45</v>
      </c>
      <c r="G23" s="22" t="s">
        <v>46</v>
      </c>
    </row>
    <row r="24" spans="2:7" ht="15.75" hidden="1" thickBot="1" x14ac:dyDescent="0.3">
      <c r="B24" s="18">
        <v>0</v>
      </c>
      <c r="C24" s="19">
        <f>G18</f>
        <v>302.57</v>
      </c>
      <c r="D24" s="19">
        <f>SUM(G19:G20)</f>
        <v>3.04</v>
      </c>
      <c r="E24" s="19">
        <f>SUM(G21:G22)</f>
        <v>1.42</v>
      </c>
      <c r="F24" s="21">
        <v>0</v>
      </c>
      <c r="G24" s="23">
        <f>SUM(G18:G22)</f>
        <v>307.02999999999997</v>
      </c>
    </row>
    <row r="25" spans="2:7" hidden="1" x14ac:dyDescent="0.25"/>
    <row r="26" spans="2:7" hidden="1" x14ac:dyDescent="0.25"/>
    <row r="30" spans="2:7" ht="15.75" thickBot="1" x14ac:dyDescent="0.3"/>
    <row r="31" spans="2:7" ht="16.5" thickBot="1" x14ac:dyDescent="0.3">
      <c r="B31" s="383" t="s">
        <v>60</v>
      </c>
      <c r="C31" s="384"/>
      <c r="D31" s="384"/>
      <c r="E31" s="384"/>
      <c r="F31" s="384"/>
      <c r="G31" s="385"/>
    </row>
    <row r="32" spans="2:7" ht="65.25" customHeight="1" thickBot="1" x14ac:dyDescent="0.3">
      <c r="B32" s="380" t="s">
        <v>154</v>
      </c>
      <c r="C32" s="381"/>
      <c r="D32" s="381"/>
      <c r="E32" s="381"/>
      <c r="F32" s="381"/>
      <c r="G32" s="382"/>
    </row>
    <row r="33" spans="2:8" ht="15.75" thickBot="1" x14ac:dyDescent="0.3">
      <c r="B33" s="12" t="s">
        <v>34</v>
      </c>
      <c r="C33" s="13" t="s">
        <v>28</v>
      </c>
      <c r="D33" s="71" t="s">
        <v>29</v>
      </c>
      <c r="E33" s="71" t="s">
        <v>30</v>
      </c>
      <c r="F33" s="71" t="s">
        <v>31</v>
      </c>
      <c r="G33" s="72" t="s">
        <v>32</v>
      </c>
    </row>
    <row r="34" spans="2:8" x14ac:dyDescent="0.25">
      <c r="B34" s="10" t="s">
        <v>190</v>
      </c>
      <c r="C34" s="11" t="s">
        <v>204</v>
      </c>
      <c r="D34" s="70" t="s">
        <v>65</v>
      </c>
      <c r="E34" s="61">
        <v>1</v>
      </c>
      <c r="F34" s="85">
        <v>42</v>
      </c>
      <c r="G34" s="86">
        <f>E34*F34</f>
        <v>42</v>
      </c>
      <c r="H34" s="8">
        <v>1.82</v>
      </c>
    </row>
    <row r="35" spans="2:8" x14ac:dyDescent="0.25">
      <c r="B35" s="6" t="s">
        <v>196</v>
      </c>
      <c r="C35" s="5" t="s">
        <v>205</v>
      </c>
      <c r="D35" s="15" t="s">
        <v>29</v>
      </c>
      <c r="E35" s="2">
        <v>1</v>
      </c>
      <c r="F35" s="85">
        <v>3.74</v>
      </c>
      <c r="G35" s="29">
        <f>ROUND(E35*F35,2)</f>
        <v>3.74</v>
      </c>
      <c r="H35" s="1">
        <v>0.25</v>
      </c>
    </row>
    <row r="36" spans="2:8" x14ac:dyDescent="0.25">
      <c r="B36" s="6" t="s">
        <v>196</v>
      </c>
      <c r="C36" s="4" t="s">
        <v>206</v>
      </c>
      <c r="D36" s="15" t="s">
        <v>65</v>
      </c>
      <c r="E36" s="2">
        <v>1</v>
      </c>
      <c r="F36" s="85">
        <v>16</v>
      </c>
      <c r="G36" s="29">
        <f>ROUND(E36*F36,2)</f>
        <v>16</v>
      </c>
      <c r="H36" s="1">
        <v>44.95</v>
      </c>
    </row>
    <row r="37" spans="2:8" x14ac:dyDescent="0.25">
      <c r="B37" s="7" t="s">
        <v>196</v>
      </c>
      <c r="C37" s="5" t="s">
        <v>207</v>
      </c>
      <c r="D37" s="15" t="s">
        <v>87</v>
      </c>
      <c r="E37" s="2">
        <v>1.84</v>
      </c>
      <c r="F37" s="85">
        <f>H37*0.97</f>
        <v>7.6435999999999993</v>
      </c>
      <c r="G37" s="86">
        <f>ROUND(E37*F37,2)</f>
        <v>14.06</v>
      </c>
      <c r="H37" s="1">
        <v>7.88</v>
      </c>
    </row>
    <row r="38" spans="2:8" x14ac:dyDescent="0.25">
      <c r="B38" s="93" t="s">
        <v>191</v>
      </c>
      <c r="C38" s="5" t="s">
        <v>193</v>
      </c>
      <c r="D38" s="15" t="s">
        <v>87</v>
      </c>
      <c r="E38" s="1">
        <v>0.15</v>
      </c>
      <c r="F38" s="61">
        <v>5.0599999999999996</v>
      </c>
      <c r="G38" s="9">
        <f>ROUND(E38*F38,2)</f>
        <v>0.76</v>
      </c>
      <c r="H38" s="1">
        <v>1.83</v>
      </c>
    </row>
    <row r="39" spans="2:8" ht="15.75" thickBot="1" x14ac:dyDescent="0.3">
      <c r="B39" s="92" t="s">
        <v>192</v>
      </c>
      <c r="C39" s="5" t="s">
        <v>194</v>
      </c>
      <c r="D39" s="15" t="s">
        <v>87</v>
      </c>
      <c r="E39" s="1">
        <v>2</v>
      </c>
      <c r="F39" s="61">
        <v>3.41</v>
      </c>
      <c r="G39" s="9">
        <f>ROUND(E39*F39,2)</f>
        <v>6.82</v>
      </c>
      <c r="H39" s="1">
        <v>1.78</v>
      </c>
    </row>
    <row r="40" spans="2:8" x14ac:dyDescent="0.25">
      <c r="B40" s="16" t="s">
        <v>41</v>
      </c>
      <c r="C40" s="24" t="s">
        <v>42</v>
      </c>
      <c r="D40" s="17" t="s">
        <v>43</v>
      </c>
      <c r="E40" s="17" t="s">
        <v>44</v>
      </c>
      <c r="F40" s="20" t="s">
        <v>45</v>
      </c>
      <c r="G40" s="22" t="s">
        <v>46</v>
      </c>
    </row>
    <row r="41" spans="2:8" ht="15.75" thickBot="1" x14ac:dyDescent="0.3">
      <c r="B41" s="18">
        <v>0</v>
      </c>
      <c r="C41" s="94">
        <f>G34+G35+G36</f>
        <v>61.74</v>
      </c>
      <c r="D41" s="94">
        <f>G37+G38+G39</f>
        <v>21.64</v>
      </c>
      <c r="E41" s="94">
        <f>D41*0.7431</f>
        <v>16.080684000000002</v>
      </c>
      <c r="F41" s="21">
        <v>0</v>
      </c>
      <c r="G41" s="87">
        <f>SUM(G34:G39)+0.01</f>
        <v>83.39</v>
      </c>
    </row>
  </sheetData>
  <mergeCells count="6">
    <mergeCell ref="B32:G32"/>
    <mergeCell ref="B3:G3"/>
    <mergeCell ref="B4:G4"/>
    <mergeCell ref="B15:G15"/>
    <mergeCell ref="B16:G16"/>
    <mergeCell ref="B31:G31"/>
  </mergeCells>
  <pageMargins left="1.1811023622047245" right="0.78740157480314965" top="0.78740157480314965" bottom="0.78740157480314965" header="0" footer="0"/>
  <pageSetup paperSize="9" scale="75" orientation="portrait"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7"/>
  <dimension ref="B2:I45"/>
  <sheetViews>
    <sheetView view="pageBreakPreview" topLeftCell="A32" zoomScaleNormal="100" zoomScaleSheetLayoutView="100" workbookViewId="0">
      <selection activeCell="D51" sqref="D51"/>
    </sheetView>
  </sheetViews>
  <sheetFormatPr defaultRowHeight="15" x14ac:dyDescent="0.25"/>
  <cols>
    <col min="2" max="2" width="12.85546875" bestFit="1" customWidth="1"/>
    <col min="3" max="3" width="44.85546875" customWidth="1"/>
    <col min="4" max="4" width="12.7109375" bestFit="1" customWidth="1"/>
    <col min="5" max="5" width="10.140625" bestFit="1" customWidth="1"/>
    <col min="6" max="6" width="10.28515625" bestFit="1" customWidth="1"/>
    <col min="7" max="7" width="15.5703125" bestFit="1" customWidth="1"/>
    <col min="8" max="9" width="0" hidden="1" customWidth="1"/>
  </cols>
  <sheetData>
    <row r="2" spans="2:7" ht="15.75" hidden="1" thickBot="1" x14ac:dyDescent="0.3"/>
    <row r="3" spans="2:7" ht="16.5" hidden="1" thickBot="1" x14ac:dyDescent="0.3">
      <c r="B3" s="383" t="s">
        <v>60</v>
      </c>
      <c r="C3" s="384"/>
      <c r="D3" s="384"/>
      <c r="E3" s="384"/>
      <c r="F3" s="384"/>
      <c r="G3" s="385"/>
    </row>
    <row r="4" spans="2:7" ht="60" hidden="1" customHeight="1" thickBot="1" x14ac:dyDescent="0.3">
      <c r="B4" s="380" t="s">
        <v>78</v>
      </c>
      <c r="C4" s="381"/>
      <c r="D4" s="381"/>
      <c r="E4" s="381"/>
      <c r="F4" s="381"/>
      <c r="G4" s="382"/>
    </row>
    <row r="5" spans="2:7" ht="15.75" hidden="1" thickBot="1" x14ac:dyDescent="0.3">
      <c r="B5" s="12" t="s">
        <v>34</v>
      </c>
      <c r="C5" s="13" t="s">
        <v>28</v>
      </c>
      <c r="D5" s="71" t="s">
        <v>29</v>
      </c>
      <c r="E5" s="71" t="s">
        <v>30</v>
      </c>
      <c r="F5" s="71" t="s">
        <v>31</v>
      </c>
      <c r="G5" s="72" t="s">
        <v>32</v>
      </c>
    </row>
    <row r="6" spans="2:7" hidden="1" x14ac:dyDescent="0.25">
      <c r="B6" s="10" t="s">
        <v>0</v>
      </c>
      <c r="C6" s="11" t="s">
        <v>88</v>
      </c>
      <c r="D6" s="70" t="s">
        <v>29</v>
      </c>
      <c r="E6" s="8">
        <v>1</v>
      </c>
      <c r="F6" s="8">
        <v>107.5</v>
      </c>
      <c r="G6" s="9">
        <v>107.5</v>
      </c>
    </row>
    <row r="7" spans="2:7" hidden="1" x14ac:dyDescent="0.25">
      <c r="B7" s="6" t="s">
        <v>83</v>
      </c>
      <c r="C7" s="5" t="s">
        <v>79</v>
      </c>
      <c r="D7" s="15" t="s">
        <v>87</v>
      </c>
      <c r="E7" s="1">
        <v>0.25</v>
      </c>
      <c r="F7" s="1">
        <v>4.05</v>
      </c>
      <c r="G7" s="9">
        <f>ROUND(E7*F7,2)</f>
        <v>1.01</v>
      </c>
    </row>
    <row r="8" spans="2:7" hidden="1" x14ac:dyDescent="0.25">
      <c r="B8" s="7" t="s">
        <v>84</v>
      </c>
      <c r="C8" s="5" t="s">
        <v>80</v>
      </c>
      <c r="D8" s="15" t="s">
        <v>87</v>
      </c>
      <c r="E8" s="1">
        <v>0.5</v>
      </c>
      <c r="F8" s="1">
        <v>4.05</v>
      </c>
      <c r="G8" s="9">
        <f>ROUND(E8*F8,2)</f>
        <v>2.0299999999999998</v>
      </c>
    </row>
    <row r="9" spans="2:7" hidden="1" x14ac:dyDescent="0.25">
      <c r="B9" s="6" t="s">
        <v>85</v>
      </c>
      <c r="C9" s="5" t="s">
        <v>81</v>
      </c>
      <c r="D9" s="15" t="s">
        <v>87</v>
      </c>
      <c r="E9" s="1">
        <v>0.5</v>
      </c>
      <c r="F9" s="1">
        <v>1.83</v>
      </c>
      <c r="G9" s="9">
        <f>ROUND(E9*F9,2)</f>
        <v>0.92</v>
      </c>
    </row>
    <row r="10" spans="2:7" ht="15.75" hidden="1" thickBot="1" x14ac:dyDescent="0.3">
      <c r="B10" s="6" t="s">
        <v>86</v>
      </c>
      <c r="C10" s="4" t="s">
        <v>82</v>
      </c>
      <c r="D10" s="15" t="s">
        <v>87</v>
      </c>
      <c r="E10" s="1">
        <v>0.25</v>
      </c>
      <c r="F10" s="1">
        <v>2.0099999999999998</v>
      </c>
      <c r="G10" s="9">
        <f>ROUND(E10*F10,2)</f>
        <v>0.5</v>
      </c>
    </row>
    <row r="11" spans="2:7" hidden="1" x14ac:dyDescent="0.25">
      <c r="B11" s="16" t="s">
        <v>41</v>
      </c>
      <c r="C11" s="24" t="s">
        <v>42</v>
      </c>
      <c r="D11" s="17" t="s">
        <v>43</v>
      </c>
      <c r="E11" s="17" t="s">
        <v>44</v>
      </c>
      <c r="F11" s="20" t="s">
        <v>45</v>
      </c>
      <c r="G11" s="22" t="s">
        <v>46</v>
      </c>
    </row>
    <row r="12" spans="2:7" ht="15.75" hidden="1" thickBot="1" x14ac:dyDescent="0.3">
      <c r="B12" s="18">
        <v>0</v>
      </c>
      <c r="C12" s="19">
        <f>G6</f>
        <v>107.5</v>
      </c>
      <c r="D12" s="19">
        <f>SUM(G7:G8)</f>
        <v>3.04</v>
      </c>
      <c r="E12" s="19">
        <f>SUM(G9:G10)</f>
        <v>1.42</v>
      </c>
      <c r="F12" s="21">
        <v>0</v>
      </c>
      <c r="G12" s="23">
        <f>SUM(G6:G10)</f>
        <v>111.96000000000001</v>
      </c>
    </row>
    <row r="13" spans="2:7" hidden="1" x14ac:dyDescent="0.25"/>
    <row r="14" spans="2:7" ht="15.75" hidden="1" thickBot="1" x14ac:dyDescent="0.3"/>
    <row r="15" spans="2:7" ht="16.5" hidden="1" thickBot="1" x14ac:dyDescent="0.3">
      <c r="B15" s="383" t="s">
        <v>60</v>
      </c>
      <c r="C15" s="384"/>
      <c r="D15" s="384"/>
      <c r="E15" s="384"/>
      <c r="F15" s="384"/>
      <c r="G15" s="385"/>
    </row>
    <row r="16" spans="2:7" ht="61.5" hidden="1" customHeight="1" thickBot="1" x14ac:dyDescent="0.3">
      <c r="B16" s="380" t="s">
        <v>89</v>
      </c>
      <c r="C16" s="381"/>
      <c r="D16" s="381"/>
      <c r="E16" s="381"/>
      <c r="F16" s="381"/>
      <c r="G16" s="382"/>
    </row>
    <row r="17" spans="2:7" ht="15.75" hidden="1" thickBot="1" x14ac:dyDescent="0.3">
      <c r="B17" s="12" t="s">
        <v>34</v>
      </c>
      <c r="C17" s="13" t="s">
        <v>28</v>
      </c>
      <c r="D17" s="71" t="s">
        <v>29</v>
      </c>
      <c r="E17" s="71" t="s">
        <v>30</v>
      </c>
      <c r="F17" s="71" t="s">
        <v>31</v>
      </c>
      <c r="G17" s="72" t="s">
        <v>32</v>
      </c>
    </row>
    <row r="18" spans="2:7" ht="15.75" hidden="1" customHeight="1" x14ac:dyDescent="0.25">
      <c r="B18" s="10" t="s">
        <v>0</v>
      </c>
      <c r="C18" s="11" t="s">
        <v>90</v>
      </c>
      <c r="D18" s="70" t="s">
        <v>29</v>
      </c>
      <c r="E18" s="8">
        <v>1</v>
      </c>
      <c r="F18" s="8">
        <v>107.5</v>
      </c>
      <c r="G18" s="9">
        <v>302.57</v>
      </c>
    </row>
    <row r="19" spans="2:7" hidden="1" x14ac:dyDescent="0.25">
      <c r="B19" s="6" t="s">
        <v>83</v>
      </c>
      <c r="C19" s="5" t="s">
        <v>79</v>
      </c>
      <c r="D19" s="15" t="s">
        <v>87</v>
      </c>
      <c r="E19" s="1">
        <v>0.25</v>
      </c>
      <c r="F19" s="1">
        <v>4.05</v>
      </c>
      <c r="G19" s="9">
        <f>ROUND(E19*F19,2)</f>
        <v>1.01</v>
      </c>
    </row>
    <row r="20" spans="2:7" hidden="1" x14ac:dyDescent="0.25">
      <c r="B20" s="7" t="s">
        <v>84</v>
      </c>
      <c r="C20" s="5" t="s">
        <v>80</v>
      </c>
      <c r="D20" s="15" t="s">
        <v>87</v>
      </c>
      <c r="E20" s="1">
        <v>0.5</v>
      </c>
      <c r="F20" s="1">
        <v>4.05</v>
      </c>
      <c r="G20" s="9">
        <f>ROUND(E20*F20,2)</f>
        <v>2.0299999999999998</v>
      </c>
    </row>
    <row r="21" spans="2:7" hidden="1" x14ac:dyDescent="0.25">
      <c r="B21" s="6" t="s">
        <v>85</v>
      </c>
      <c r="C21" s="5" t="s">
        <v>81</v>
      </c>
      <c r="D21" s="15" t="s">
        <v>87</v>
      </c>
      <c r="E21" s="1">
        <v>0.5</v>
      </c>
      <c r="F21" s="1">
        <v>1.83</v>
      </c>
      <c r="G21" s="9">
        <f>ROUND(E21*F21,2)</f>
        <v>0.92</v>
      </c>
    </row>
    <row r="22" spans="2:7" ht="15.75" hidden="1" thickBot="1" x14ac:dyDescent="0.3">
      <c r="B22" s="6" t="s">
        <v>86</v>
      </c>
      <c r="C22" s="4" t="s">
        <v>82</v>
      </c>
      <c r="D22" s="15" t="s">
        <v>87</v>
      </c>
      <c r="E22" s="1">
        <v>0.25</v>
      </c>
      <c r="F22" s="1">
        <v>2.0099999999999998</v>
      </c>
      <c r="G22" s="9">
        <f>ROUND(E22*F22,2)</f>
        <v>0.5</v>
      </c>
    </row>
    <row r="23" spans="2:7" hidden="1" x14ac:dyDescent="0.25">
      <c r="B23" s="16" t="s">
        <v>41</v>
      </c>
      <c r="C23" s="24" t="s">
        <v>42</v>
      </c>
      <c r="D23" s="17" t="s">
        <v>43</v>
      </c>
      <c r="E23" s="17" t="s">
        <v>44</v>
      </c>
      <c r="F23" s="20" t="s">
        <v>45</v>
      </c>
      <c r="G23" s="22" t="s">
        <v>46</v>
      </c>
    </row>
    <row r="24" spans="2:7" ht="15.75" hidden="1" thickBot="1" x14ac:dyDescent="0.3">
      <c r="B24" s="18">
        <v>0</v>
      </c>
      <c r="C24" s="19">
        <f>G18</f>
        <v>302.57</v>
      </c>
      <c r="D24" s="19">
        <f>SUM(G19:G20)</f>
        <v>3.04</v>
      </c>
      <c r="E24" s="19">
        <f>SUM(G21:G22)</f>
        <v>1.42</v>
      </c>
      <c r="F24" s="21">
        <v>0</v>
      </c>
      <c r="G24" s="23">
        <f>SUM(G18:G22)</f>
        <v>307.02999999999997</v>
      </c>
    </row>
    <row r="25" spans="2:7" hidden="1" x14ac:dyDescent="0.25"/>
    <row r="30" spans="2:7" ht="15.75" thickBot="1" x14ac:dyDescent="0.3"/>
    <row r="31" spans="2:7" ht="16.5" thickBot="1" x14ac:dyDescent="0.3">
      <c r="B31" s="383" t="s">
        <v>60</v>
      </c>
      <c r="C31" s="384"/>
      <c r="D31" s="384"/>
      <c r="E31" s="384"/>
      <c r="F31" s="384"/>
      <c r="G31" s="385"/>
    </row>
    <row r="32" spans="2:7" ht="65.25" customHeight="1" thickBot="1" x14ac:dyDescent="0.3">
      <c r="B32" s="380" t="s">
        <v>155</v>
      </c>
      <c r="C32" s="381"/>
      <c r="D32" s="381"/>
      <c r="E32" s="381"/>
      <c r="F32" s="381"/>
      <c r="G32" s="382"/>
    </row>
    <row r="33" spans="2:9" ht="15.75" thickBot="1" x14ac:dyDescent="0.3">
      <c r="B33" s="12" t="s">
        <v>34</v>
      </c>
      <c r="C33" s="13" t="s">
        <v>28</v>
      </c>
      <c r="D33" s="71" t="s">
        <v>29</v>
      </c>
      <c r="E33" s="71" t="s">
        <v>30</v>
      </c>
      <c r="F33" s="71" t="s">
        <v>31</v>
      </c>
      <c r="G33" s="72" t="s">
        <v>32</v>
      </c>
    </row>
    <row r="34" spans="2:9" x14ac:dyDescent="0.25">
      <c r="B34" s="10" t="s">
        <v>0</v>
      </c>
      <c r="C34" s="11" t="s">
        <v>113</v>
      </c>
      <c r="D34" s="70" t="s">
        <v>65</v>
      </c>
      <c r="E34" s="61">
        <v>4</v>
      </c>
      <c r="F34" s="85">
        <v>1.8</v>
      </c>
      <c r="G34" s="86">
        <f>E34*F34</f>
        <v>7.2</v>
      </c>
      <c r="H34" s="8">
        <v>1.82</v>
      </c>
      <c r="I34" s="85">
        <v>1.7654000000000001</v>
      </c>
    </row>
    <row r="35" spans="2:9" ht="22.5" x14ac:dyDescent="0.25">
      <c r="B35" s="6" t="s">
        <v>115</v>
      </c>
      <c r="C35" s="5" t="s">
        <v>114</v>
      </c>
      <c r="D35" s="15" t="s">
        <v>29</v>
      </c>
      <c r="E35" s="1">
        <v>1.05</v>
      </c>
      <c r="F35" s="85">
        <f t="shared" ref="F35:F43" si="0">I35*0.97</f>
        <v>0.23522499999999999</v>
      </c>
      <c r="G35" s="29">
        <f t="shared" ref="G35:G43" si="1">ROUND(E35*F35,2)</f>
        <v>0.25</v>
      </c>
      <c r="H35" s="1">
        <v>0.25</v>
      </c>
      <c r="I35" s="85">
        <v>0.24249999999999999</v>
      </c>
    </row>
    <row r="36" spans="2:9" x14ac:dyDescent="0.25">
      <c r="B36" s="6" t="s">
        <v>119</v>
      </c>
      <c r="C36" s="4" t="s">
        <v>116</v>
      </c>
      <c r="D36" s="15" t="s">
        <v>95</v>
      </c>
      <c r="E36" s="1">
        <v>3.0000000000000001E-3</v>
      </c>
      <c r="F36" s="85">
        <f t="shared" si="0"/>
        <v>42.293455000000002</v>
      </c>
      <c r="G36" s="29">
        <f t="shared" si="1"/>
        <v>0.13</v>
      </c>
      <c r="H36" s="1">
        <v>44.95</v>
      </c>
      <c r="I36" s="85">
        <v>43.601500000000001</v>
      </c>
    </row>
    <row r="37" spans="2:9" x14ac:dyDescent="0.25">
      <c r="B37" s="6" t="s">
        <v>118</v>
      </c>
      <c r="C37" s="4" t="s">
        <v>117</v>
      </c>
      <c r="D37" s="15" t="s">
        <v>123</v>
      </c>
      <c r="E37" s="1">
        <v>3.0000000000000001E-3</v>
      </c>
      <c r="F37" s="85">
        <f t="shared" si="0"/>
        <v>31.219061999999994</v>
      </c>
      <c r="G37" s="29">
        <f t="shared" si="1"/>
        <v>0.09</v>
      </c>
      <c r="H37" s="1">
        <v>33.18</v>
      </c>
      <c r="I37" s="85">
        <v>32.184599999999996</v>
      </c>
    </row>
    <row r="38" spans="2:9" x14ac:dyDescent="0.25">
      <c r="B38" s="6" t="s">
        <v>125</v>
      </c>
      <c r="C38" s="5" t="s">
        <v>124</v>
      </c>
      <c r="D38" s="15" t="s">
        <v>95</v>
      </c>
      <c r="E38" s="2">
        <v>3.2</v>
      </c>
      <c r="F38" s="85">
        <f t="shared" si="0"/>
        <v>0.36695100000000003</v>
      </c>
      <c r="G38" s="29">
        <f t="shared" si="1"/>
        <v>1.17</v>
      </c>
      <c r="H38" s="1">
        <v>0.39</v>
      </c>
      <c r="I38" s="85">
        <v>0.37830000000000003</v>
      </c>
    </row>
    <row r="39" spans="2:9" x14ac:dyDescent="0.25">
      <c r="B39" s="6" t="s">
        <v>127</v>
      </c>
      <c r="C39" s="5" t="s">
        <v>120</v>
      </c>
      <c r="D39" s="15" t="s">
        <v>105</v>
      </c>
      <c r="E39" s="1">
        <v>5.0000000000000001E-3</v>
      </c>
      <c r="F39" s="85">
        <f t="shared" si="0"/>
        <v>56.453999999999994</v>
      </c>
      <c r="G39" s="29">
        <f t="shared" si="1"/>
        <v>0.28000000000000003</v>
      </c>
      <c r="H39" s="1">
        <v>60</v>
      </c>
      <c r="I39" s="85">
        <v>58.199999999999996</v>
      </c>
    </row>
    <row r="40" spans="2:9" x14ac:dyDescent="0.25">
      <c r="B40" s="75" t="s">
        <v>126</v>
      </c>
      <c r="C40" s="5" t="s">
        <v>121</v>
      </c>
      <c r="D40" s="15" t="s">
        <v>87</v>
      </c>
      <c r="E40" s="2">
        <v>1.84</v>
      </c>
      <c r="F40" s="85">
        <f t="shared" si="0"/>
        <v>10.001766999999999</v>
      </c>
      <c r="G40" s="86">
        <f t="shared" si="1"/>
        <v>18.399999999999999</v>
      </c>
      <c r="H40" s="1">
        <v>10.63</v>
      </c>
      <c r="I40" s="85">
        <v>10.3111</v>
      </c>
    </row>
    <row r="41" spans="2:9" x14ac:dyDescent="0.25">
      <c r="B41" s="7" t="s">
        <v>84</v>
      </c>
      <c r="C41" s="5" t="s">
        <v>80</v>
      </c>
      <c r="D41" s="15" t="s">
        <v>87</v>
      </c>
      <c r="E41" s="2">
        <v>1.84</v>
      </c>
      <c r="F41" s="85">
        <f t="shared" si="0"/>
        <v>7.4142919999999988</v>
      </c>
      <c r="G41" s="86">
        <f t="shared" si="1"/>
        <v>13.64</v>
      </c>
      <c r="H41" s="1">
        <v>7.88</v>
      </c>
      <c r="I41" s="85">
        <v>7.6435999999999993</v>
      </c>
    </row>
    <row r="42" spans="2:9" x14ac:dyDescent="0.25">
      <c r="B42" s="93" t="s">
        <v>191</v>
      </c>
      <c r="C42" s="5" t="s">
        <v>193</v>
      </c>
      <c r="D42" s="15" t="s">
        <v>87</v>
      </c>
      <c r="E42" s="1">
        <v>0.15</v>
      </c>
      <c r="F42" s="85">
        <f t="shared" si="0"/>
        <v>4.9081999999999999</v>
      </c>
      <c r="G42" s="9">
        <f t="shared" si="1"/>
        <v>0.74</v>
      </c>
      <c r="H42" s="1">
        <v>1.83</v>
      </c>
      <c r="I42" s="61">
        <v>5.0599999999999996</v>
      </c>
    </row>
    <row r="43" spans="2:9" ht="15.75" thickBot="1" x14ac:dyDescent="0.3">
      <c r="B43" s="92" t="s">
        <v>192</v>
      </c>
      <c r="C43" s="5" t="s">
        <v>194</v>
      </c>
      <c r="D43" s="15" t="s">
        <v>87</v>
      </c>
      <c r="E43" s="1">
        <v>2</v>
      </c>
      <c r="F43" s="85">
        <f t="shared" si="0"/>
        <v>3.3077000000000001</v>
      </c>
      <c r="G43" s="9">
        <f t="shared" si="1"/>
        <v>6.62</v>
      </c>
      <c r="H43" s="1">
        <v>1.78</v>
      </c>
      <c r="I43" s="61">
        <v>3.41</v>
      </c>
    </row>
    <row r="44" spans="2:9" x14ac:dyDescent="0.25">
      <c r="B44" s="16" t="s">
        <v>41</v>
      </c>
      <c r="C44" s="24" t="s">
        <v>42</v>
      </c>
      <c r="D44" s="17" t="s">
        <v>43</v>
      </c>
      <c r="E44" s="17" t="s">
        <v>44</v>
      </c>
      <c r="F44" s="20" t="s">
        <v>45</v>
      </c>
      <c r="G44" s="22" t="s">
        <v>46</v>
      </c>
    </row>
    <row r="45" spans="2:9" ht="15.75" thickBot="1" x14ac:dyDescent="0.3">
      <c r="B45" s="18">
        <v>0</v>
      </c>
      <c r="C45" s="19">
        <f>G34+G35+G36+G37+G38+G39</f>
        <v>9.1199999999999992</v>
      </c>
      <c r="D45" s="19">
        <f>G40+G41</f>
        <v>32.04</v>
      </c>
      <c r="E45" s="19">
        <f>SUM(G42:G43)</f>
        <v>7.36</v>
      </c>
      <c r="F45" s="21">
        <v>0</v>
      </c>
      <c r="G45" s="87">
        <f>SUM(G34:G43)+0.01</f>
        <v>48.529999999999994</v>
      </c>
    </row>
  </sheetData>
  <mergeCells count="6">
    <mergeCell ref="B32:G32"/>
    <mergeCell ref="B3:G3"/>
    <mergeCell ref="B4:G4"/>
    <mergeCell ref="B15:G15"/>
    <mergeCell ref="B16:G16"/>
    <mergeCell ref="B31:G31"/>
  </mergeCells>
  <pageMargins left="1.1811023622047245" right="0.78740157480314965" top="0.78740157480314965" bottom="0.78740157480314965" header="0" footer="0"/>
  <pageSetup paperSize="9" scale="75" orientation="portrait"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8"/>
  <dimension ref="B2:H38"/>
  <sheetViews>
    <sheetView view="pageBreakPreview" zoomScaleNormal="100" zoomScaleSheetLayoutView="100" workbookViewId="0">
      <selection activeCell="E38" sqref="E38"/>
    </sheetView>
  </sheetViews>
  <sheetFormatPr defaultRowHeight="15" x14ac:dyDescent="0.25"/>
  <cols>
    <col min="2" max="2" width="12.85546875" bestFit="1" customWidth="1"/>
    <col min="3" max="3" width="44.85546875" customWidth="1"/>
    <col min="4" max="4" width="12.7109375" bestFit="1" customWidth="1"/>
    <col min="5" max="5" width="10.140625" bestFit="1" customWidth="1"/>
    <col min="6" max="6" width="10.28515625" bestFit="1" customWidth="1"/>
    <col min="7" max="7" width="15.5703125" bestFit="1" customWidth="1"/>
    <col min="8" max="8" width="0" hidden="1" customWidth="1"/>
  </cols>
  <sheetData>
    <row r="2" spans="2:7" ht="15.75" hidden="1" thickBot="1" x14ac:dyDescent="0.3"/>
    <row r="3" spans="2:7" ht="16.5" hidden="1" thickBot="1" x14ac:dyDescent="0.3">
      <c r="B3" s="383" t="s">
        <v>60</v>
      </c>
      <c r="C3" s="384"/>
      <c r="D3" s="384"/>
      <c r="E3" s="384"/>
      <c r="F3" s="384"/>
      <c r="G3" s="385"/>
    </row>
    <row r="4" spans="2:7" ht="60" hidden="1" customHeight="1" thickBot="1" x14ac:dyDescent="0.3">
      <c r="B4" s="380" t="s">
        <v>78</v>
      </c>
      <c r="C4" s="381"/>
      <c r="D4" s="381"/>
      <c r="E4" s="381"/>
      <c r="F4" s="381"/>
      <c r="G4" s="382"/>
    </row>
    <row r="5" spans="2:7" ht="15.75" hidden="1" thickBot="1" x14ac:dyDescent="0.3">
      <c r="B5" s="12" t="s">
        <v>34</v>
      </c>
      <c r="C5" s="13" t="s">
        <v>28</v>
      </c>
      <c r="D5" s="71" t="s">
        <v>29</v>
      </c>
      <c r="E5" s="71" t="s">
        <v>30</v>
      </c>
      <c r="F5" s="71" t="s">
        <v>31</v>
      </c>
      <c r="G5" s="72" t="s">
        <v>32</v>
      </c>
    </row>
    <row r="6" spans="2:7" hidden="1" x14ac:dyDescent="0.25">
      <c r="B6" s="10" t="s">
        <v>0</v>
      </c>
      <c r="C6" s="11" t="s">
        <v>88</v>
      </c>
      <c r="D6" s="70" t="s">
        <v>29</v>
      </c>
      <c r="E6" s="8">
        <v>1</v>
      </c>
      <c r="F6" s="8">
        <v>107.5</v>
      </c>
      <c r="G6" s="9">
        <v>107.5</v>
      </c>
    </row>
    <row r="7" spans="2:7" hidden="1" x14ac:dyDescent="0.25">
      <c r="B7" s="6" t="s">
        <v>83</v>
      </c>
      <c r="C7" s="5" t="s">
        <v>79</v>
      </c>
      <c r="D7" s="15" t="s">
        <v>87</v>
      </c>
      <c r="E7" s="1">
        <v>0.25</v>
      </c>
      <c r="F7" s="1">
        <v>4.05</v>
      </c>
      <c r="G7" s="9">
        <f>ROUND(E7*F7,2)</f>
        <v>1.01</v>
      </c>
    </row>
    <row r="8" spans="2:7" hidden="1" x14ac:dyDescent="0.25">
      <c r="B8" s="7" t="s">
        <v>84</v>
      </c>
      <c r="C8" s="5" t="s">
        <v>80</v>
      </c>
      <c r="D8" s="15" t="s">
        <v>87</v>
      </c>
      <c r="E8" s="1">
        <v>0.5</v>
      </c>
      <c r="F8" s="1">
        <v>4.05</v>
      </c>
      <c r="G8" s="9">
        <f>ROUND(E8*F8,2)</f>
        <v>2.0299999999999998</v>
      </c>
    </row>
    <row r="9" spans="2:7" hidden="1" x14ac:dyDescent="0.25">
      <c r="B9" s="6" t="s">
        <v>85</v>
      </c>
      <c r="C9" s="5" t="s">
        <v>81</v>
      </c>
      <c r="D9" s="15" t="s">
        <v>87</v>
      </c>
      <c r="E9" s="1">
        <v>0.5</v>
      </c>
      <c r="F9" s="1">
        <v>1.83</v>
      </c>
      <c r="G9" s="9">
        <f>ROUND(E9*F9,2)</f>
        <v>0.92</v>
      </c>
    </row>
    <row r="10" spans="2:7" ht="15.75" hidden="1" thickBot="1" x14ac:dyDescent="0.3">
      <c r="B10" s="6" t="s">
        <v>86</v>
      </c>
      <c r="C10" s="4" t="s">
        <v>82</v>
      </c>
      <c r="D10" s="15" t="s">
        <v>87</v>
      </c>
      <c r="E10" s="1">
        <v>0.25</v>
      </c>
      <c r="F10" s="1">
        <v>2.0099999999999998</v>
      </c>
      <c r="G10" s="9">
        <f>ROUND(E10*F10,2)</f>
        <v>0.5</v>
      </c>
    </row>
    <row r="11" spans="2:7" hidden="1" x14ac:dyDescent="0.25">
      <c r="B11" s="16" t="s">
        <v>41</v>
      </c>
      <c r="C11" s="24" t="s">
        <v>42</v>
      </c>
      <c r="D11" s="17" t="s">
        <v>43</v>
      </c>
      <c r="E11" s="17" t="s">
        <v>44</v>
      </c>
      <c r="F11" s="20" t="s">
        <v>45</v>
      </c>
      <c r="G11" s="22" t="s">
        <v>46</v>
      </c>
    </row>
    <row r="12" spans="2:7" ht="15.75" hidden="1" thickBot="1" x14ac:dyDescent="0.3">
      <c r="B12" s="18">
        <v>0</v>
      </c>
      <c r="C12" s="19">
        <f>G6</f>
        <v>107.5</v>
      </c>
      <c r="D12" s="19">
        <f>SUM(G7:G8)</f>
        <v>3.04</v>
      </c>
      <c r="E12" s="19">
        <f>SUM(G9:G10)</f>
        <v>1.42</v>
      </c>
      <c r="F12" s="21">
        <v>0</v>
      </c>
      <c r="G12" s="23">
        <f>SUM(G6:G10)</f>
        <v>111.96000000000001</v>
      </c>
    </row>
    <row r="13" spans="2:7" hidden="1" x14ac:dyDescent="0.25"/>
    <row r="14" spans="2:7" ht="15.75" hidden="1" thickBot="1" x14ac:dyDescent="0.3"/>
    <row r="15" spans="2:7" ht="16.5" hidden="1" thickBot="1" x14ac:dyDescent="0.3">
      <c r="B15" s="383" t="s">
        <v>60</v>
      </c>
      <c r="C15" s="384"/>
      <c r="D15" s="384"/>
      <c r="E15" s="384"/>
      <c r="F15" s="384"/>
      <c r="G15" s="385"/>
    </row>
    <row r="16" spans="2:7" ht="61.5" hidden="1" customHeight="1" thickBot="1" x14ac:dyDescent="0.3">
      <c r="B16" s="380" t="s">
        <v>89</v>
      </c>
      <c r="C16" s="381"/>
      <c r="D16" s="381"/>
      <c r="E16" s="381"/>
      <c r="F16" s="381"/>
      <c r="G16" s="382"/>
    </row>
    <row r="17" spans="2:7" ht="15.75" hidden="1" thickBot="1" x14ac:dyDescent="0.3">
      <c r="B17" s="12" t="s">
        <v>34</v>
      </c>
      <c r="C17" s="13" t="s">
        <v>28</v>
      </c>
      <c r="D17" s="71" t="s">
        <v>29</v>
      </c>
      <c r="E17" s="71" t="s">
        <v>30</v>
      </c>
      <c r="F17" s="71" t="s">
        <v>31</v>
      </c>
      <c r="G17" s="72" t="s">
        <v>32</v>
      </c>
    </row>
    <row r="18" spans="2:7" ht="15.75" hidden="1" customHeight="1" x14ac:dyDescent="0.25">
      <c r="B18" s="10" t="s">
        <v>0</v>
      </c>
      <c r="C18" s="11" t="s">
        <v>90</v>
      </c>
      <c r="D18" s="70" t="s">
        <v>29</v>
      </c>
      <c r="E18" s="8">
        <v>1</v>
      </c>
      <c r="F18" s="8">
        <v>107.5</v>
      </c>
      <c r="G18" s="9">
        <v>302.57</v>
      </c>
    </row>
    <row r="19" spans="2:7" hidden="1" x14ac:dyDescent="0.25">
      <c r="B19" s="6" t="s">
        <v>83</v>
      </c>
      <c r="C19" s="5" t="s">
        <v>79</v>
      </c>
      <c r="D19" s="15" t="s">
        <v>87</v>
      </c>
      <c r="E19" s="1">
        <v>0.25</v>
      </c>
      <c r="F19" s="1">
        <v>4.05</v>
      </c>
      <c r="G19" s="9">
        <f>ROUND(E19*F19,2)</f>
        <v>1.01</v>
      </c>
    </row>
    <row r="20" spans="2:7" hidden="1" x14ac:dyDescent="0.25">
      <c r="B20" s="7" t="s">
        <v>84</v>
      </c>
      <c r="C20" s="5" t="s">
        <v>80</v>
      </c>
      <c r="D20" s="15" t="s">
        <v>87</v>
      </c>
      <c r="E20" s="1">
        <v>0.5</v>
      </c>
      <c r="F20" s="1">
        <v>4.05</v>
      </c>
      <c r="G20" s="9">
        <f>ROUND(E20*F20,2)</f>
        <v>2.0299999999999998</v>
      </c>
    </row>
    <row r="21" spans="2:7" hidden="1" x14ac:dyDescent="0.25">
      <c r="B21" s="6" t="s">
        <v>85</v>
      </c>
      <c r="C21" s="5" t="s">
        <v>81</v>
      </c>
      <c r="D21" s="15" t="s">
        <v>87</v>
      </c>
      <c r="E21" s="1">
        <v>0.5</v>
      </c>
      <c r="F21" s="1">
        <v>1.83</v>
      </c>
      <c r="G21" s="9">
        <f>ROUND(E21*F21,2)</f>
        <v>0.92</v>
      </c>
    </row>
    <row r="22" spans="2:7" ht="15.75" hidden="1" thickBot="1" x14ac:dyDescent="0.3">
      <c r="B22" s="6" t="s">
        <v>86</v>
      </c>
      <c r="C22" s="4" t="s">
        <v>82</v>
      </c>
      <c r="D22" s="15" t="s">
        <v>87</v>
      </c>
      <c r="E22" s="1">
        <v>0.25</v>
      </c>
      <c r="F22" s="1">
        <v>2.0099999999999998</v>
      </c>
      <c r="G22" s="9">
        <f>ROUND(E22*F22,2)</f>
        <v>0.5</v>
      </c>
    </row>
    <row r="23" spans="2:7" hidden="1" x14ac:dyDescent="0.25">
      <c r="B23" s="16" t="s">
        <v>41</v>
      </c>
      <c r="C23" s="24" t="s">
        <v>42</v>
      </c>
      <c r="D23" s="17" t="s">
        <v>43</v>
      </c>
      <c r="E23" s="17" t="s">
        <v>44</v>
      </c>
      <c r="F23" s="20" t="s">
        <v>45</v>
      </c>
      <c r="G23" s="22" t="s">
        <v>46</v>
      </c>
    </row>
    <row r="24" spans="2:7" ht="15.75" hidden="1" thickBot="1" x14ac:dyDescent="0.3">
      <c r="B24" s="18">
        <v>0</v>
      </c>
      <c r="C24" s="19">
        <f>G18</f>
        <v>302.57</v>
      </c>
      <c r="D24" s="19">
        <f>SUM(G19:G20)</f>
        <v>3.04</v>
      </c>
      <c r="E24" s="19">
        <f>SUM(G21:G22)</f>
        <v>1.42</v>
      </c>
      <c r="F24" s="21">
        <v>0</v>
      </c>
      <c r="G24" s="23">
        <f>SUM(G18:G22)</f>
        <v>307.02999999999997</v>
      </c>
    </row>
    <row r="25" spans="2:7" hidden="1" x14ac:dyDescent="0.25"/>
    <row r="26" spans="2:7" hidden="1" x14ac:dyDescent="0.25"/>
    <row r="30" spans="2:7" ht="15.75" thickBot="1" x14ac:dyDescent="0.3"/>
    <row r="31" spans="2:7" ht="16.5" thickBot="1" x14ac:dyDescent="0.3">
      <c r="B31" s="383" t="s">
        <v>60</v>
      </c>
      <c r="C31" s="384"/>
      <c r="D31" s="384"/>
      <c r="E31" s="384"/>
      <c r="F31" s="384"/>
      <c r="G31" s="385"/>
    </row>
    <row r="32" spans="2:7" ht="65.25" customHeight="1" thickBot="1" x14ac:dyDescent="0.3">
      <c r="B32" s="380" t="s">
        <v>156</v>
      </c>
      <c r="C32" s="381"/>
      <c r="D32" s="381"/>
      <c r="E32" s="381"/>
      <c r="F32" s="381"/>
      <c r="G32" s="382"/>
    </row>
    <row r="33" spans="2:8" ht="15.75" thickBot="1" x14ac:dyDescent="0.3">
      <c r="B33" s="12" t="s">
        <v>34</v>
      </c>
      <c r="C33" s="13" t="s">
        <v>28</v>
      </c>
      <c r="D33" s="71" t="s">
        <v>29</v>
      </c>
      <c r="E33" s="71" t="s">
        <v>30</v>
      </c>
      <c r="F33" s="71" t="s">
        <v>31</v>
      </c>
      <c r="G33" s="72" t="s">
        <v>32</v>
      </c>
    </row>
    <row r="34" spans="2:8" x14ac:dyDescent="0.25">
      <c r="B34" s="10" t="s">
        <v>190</v>
      </c>
      <c r="C34" s="11" t="s">
        <v>208</v>
      </c>
      <c r="D34" s="70" t="s">
        <v>26</v>
      </c>
      <c r="E34" s="61">
        <v>1</v>
      </c>
      <c r="F34" s="85">
        <v>0.5</v>
      </c>
      <c r="G34" s="86">
        <f>E34*F34</f>
        <v>0.5</v>
      </c>
      <c r="H34" s="8">
        <v>1.82</v>
      </c>
    </row>
    <row r="35" spans="2:8" x14ac:dyDescent="0.25">
      <c r="B35" s="93" t="s">
        <v>191</v>
      </c>
      <c r="C35" s="5" t="s">
        <v>193</v>
      </c>
      <c r="D35" s="15" t="s">
        <v>87</v>
      </c>
      <c r="E35" s="1">
        <v>0.15</v>
      </c>
      <c r="F35" s="61">
        <v>5.0599999999999996</v>
      </c>
      <c r="G35" s="9">
        <f>ROUND(E35*F35,2)</f>
        <v>0.76</v>
      </c>
      <c r="H35" s="1">
        <v>1.83</v>
      </c>
    </row>
    <row r="36" spans="2:8" ht="15.75" thickBot="1" x14ac:dyDescent="0.3">
      <c r="B36" s="92" t="s">
        <v>192</v>
      </c>
      <c r="C36" s="5" t="s">
        <v>194</v>
      </c>
      <c r="D36" s="15" t="s">
        <v>87</v>
      </c>
      <c r="E36" s="1">
        <v>0.1</v>
      </c>
      <c r="F36" s="61">
        <v>3.41</v>
      </c>
      <c r="G36" s="9">
        <f>ROUND(E36*F36,2)</f>
        <v>0.34</v>
      </c>
      <c r="H36" s="1">
        <v>1.78</v>
      </c>
    </row>
    <row r="37" spans="2:8" x14ac:dyDescent="0.25">
      <c r="B37" s="16" t="s">
        <v>41</v>
      </c>
      <c r="C37" s="24" t="s">
        <v>42</v>
      </c>
      <c r="D37" s="17" t="s">
        <v>43</v>
      </c>
      <c r="E37" s="17" t="s">
        <v>44</v>
      </c>
      <c r="F37" s="20" t="s">
        <v>45</v>
      </c>
      <c r="G37" s="22" t="s">
        <v>46</v>
      </c>
    </row>
    <row r="38" spans="2:8" ht="15.75" thickBot="1" x14ac:dyDescent="0.3">
      <c r="B38" s="18">
        <v>0</v>
      </c>
      <c r="C38" s="94">
        <f>G34</f>
        <v>0.5</v>
      </c>
      <c r="D38" s="19">
        <f>G35+G36</f>
        <v>1.1000000000000001</v>
      </c>
      <c r="E38" s="94">
        <f>D38*0.7431</f>
        <v>0.81741000000000008</v>
      </c>
      <c r="F38" s="21">
        <v>0</v>
      </c>
      <c r="G38" s="87">
        <f>SUM(G34:G36)+0.01</f>
        <v>1.61</v>
      </c>
    </row>
  </sheetData>
  <mergeCells count="6">
    <mergeCell ref="B32:G32"/>
    <mergeCell ref="B3:G3"/>
    <mergeCell ref="B4:G4"/>
    <mergeCell ref="B15:G15"/>
    <mergeCell ref="B16:G16"/>
    <mergeCell ref="B31:G31"/>
  </mergeCells>
  <pageMargins left="1.1811023622047245" right="0.78740157480314965" top="0.78740157480314965" bottom="0.78740157480314965" header="0" footer="0"/>
  <pageSetup paperSize="9" scale="75" orientation="portrait"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
  <dimension ref="A1:I89"/>
  <sheetViews>
    <sheetView view="pageBreakPreview" topLeftCell="A7" zoomScaleNormal="100" zoomScaleSheetLayoutView="100" workbookViewId="0">
      <selection activeCell="C33" sqref="C33"/>
    </sheetView>
  </sheetViews>
  <sheetFormatPr defaultRowHeight="15" x14ac:dyDescent="0.25"/>
  <cols>
    <col min="2" max="2" width="16.85546875" customWidth="1"/>
    <col min="3" max="3" width="59.140625" customWidth="1"/>
    <col min="6" max="6" width="23.7109375" bestFit="1" customWidth="1"/>
    <col min="7" max="7" width="13.140625" bestFit="1" customWidth="1"/>
    <col min="8" max="8" width="16.42578125" bestFit="1" customWidth="1"/>
    <col min="9" max="9" width="0" hidden="1" customWidth="1"/>
    <col min="14" max="14" width="10" customWidth="1"/>
    <col min="15" max="15" width="8.7109375" bestFit="1" customWidth="1"/>
  </cols>
  <sheetData>
    <row r="1" spans="1:9" ht="86.25" customHeight="1" thickBot="1" x14ac:dyDescent="0.3">
      <c r="A1" s="130"/>
      <c r="B1" s="131"/>
      <c r="C1" s="132"/>
      <c r="D1" s="133"/>
      <c r="E1" s="134"/>
      <c r="F1" s="135"/>
      <c r="G1" s="136"/>
    </row>
    <row r="2" spans="1:9" ht="16.5" thickBot="1" x14ac:dyDescent="0.3">
      <c r="A2" s="354" t="s">
        <v>15</v>
      </c>
      <c r="B2" s="355"/>
      <c r="C2" s="355"/>
      <c r="D2" s="355"/>
      <c r="E2" s="355"/>
      <c r="F2" s="355"/>
      <c r="G2" s="356"/>
      <c r="H2" s="101"/>
      <c r="I2" s="101"/>
    </row>
    <row r="3" spans="1:9" ht="24" customHeight="1" x14ac:dyDescent="0.25">
      <c r="A3" s="357" t="s">
        <v>332</v>
      </c>
      <c r="B3" s="358"/>
      <c r="C3" s="358"/>
      <c r="D3" s="358"/>
      <c r="E3" s="358"/>
      <c r="F3" s="358"/>
      <c r="G3" s="359"/>
      <c r="H3" s="101"/>
      <c r="I3" s="101"/>
    </row>
    <row r="4" spans="1:9" ht="25.5" customHeight="1" thickBot="1" x14ac:dyDescent="0.3">
      <c r="A4" s="372" t="s">
        <v>521</v>
      </c>
      <c r="B4" s="370"/>
      <c r="C4" s="370"/>
      <c r="D4" s="192"/>
      <c r="E4" s="370"/>
      <c r="F4" s="370"/>
      <c r="G4" s="371"/>
      <c r="H4" s="101"/>
      <c r="I4" s="101"/>
    </row>
    <row r="5" spans="1:9" x14ac:dyDescent="0.25">
      <c r="A5" s="360" t="s">
        <v>1</v>
      </c>
      <c r="B5" s="362" t="s">
        <v>2</v>
      </c>
      <c r="C5" s="364" t="s">
        <v>3</v>
      </c>
      <c r="D5" s="366" t="s">
        <v>4</v>
      </c>
      <c r="E5" s="366" t="s">
        <v>5</v>
      </c>
      <c r="F5" s="129" t="s">
        <v>6</v>
      </c>
      <c r="G5" s="368" t="s">
        <v>7</v>
      </c>
      <c r="H5" s="101"/>
      <c r="I5" s="101"/>
    </row>
    <row r="6" spans="1:9" ht="15.75" thickBot="1" x14ac:dyDescent="0.3">
      <c r="A6" s="361"/>
      <c r="B6" s="363"/>
      <c r="C6" s="365"/>
      <c r="D6" s="367"/>
      <c r="E6" s="367"/>
      <c r="F6" s="219" t="s">
        <v>8</v>
      </c>
      <c r="G6" s="369"/>
      <c r="H6" s="101"/>
      <c r="I6" s="101"/>
    </row>
    <row r="7" spans="1:9" ht="15.75" thickBot="1" x14ac:dyDescent="0.3">
      <c r="A7" s="143" t="s">
        <v>9</v>
      </c>
      <c r="B7" s="144"/>
      <c r="C7" s="145" t="s">
        <v>104</v>
      </c>
      <c r="D7" s="144"/>
      <c r="E7" s="144"/>
      <c r="F7" s="144"/>
      <c r="G7" s="146">
        <f>SUM(G8:G9)</f>
        <v>142.25</v>
      </c>
      <c r="H7" s="101"/>
      <c r="I7" s="101"/>
    </row>
    <row r="8" spans="1:9" ht="26.25" x14ac:dyDescent="0.25">
      <c r="A8" s="137" t="s">
        <v>10</v>
      </c>
      <c r="B8" s="138" t="s">
        <v>249</v>
      </c>
      <c r="C8" s="139" t="s">
        <v>250</v>
      </c>
      <c r="D8" s="140">
        <f>'Memoria de Cálculo'!K10</f>
        <v>0.38</v>
      </c>
      <c r="E8" s="140" t="s">
        <v>105</v>
      </c>
      <c r="F8" s="141">
        <v>30.63</v>
      </c>
      <c r="G8" s="142">
        <f>ROUND(D8*F8,2)</f>
        <v>11.64</v>
      </c>
      <c r="H8" s="101"/>
      <c r="I8" s="106">
        <v>23.21</v>
      </c>
    </row>
    <row r="9" spans="1:9" ht="15.75" thickBot="1" x14ac:dyDescent="0.3">
      <c r="A9" s="103" t="s">
        <v>392</v>
      </c>
      <c r="B9" s="147" t="s">
        <v>260</v>
      </c>
      <c r="C9" s="148" t="s">
        <v>326</v>
      </c>
      <c r="D9" s="149">
        <f>'Memoria de Cálculo'!K16</f>
        <v>4.38</v>
      </c>
      <c r="E9" s="149" t="s">
        <v>26</v>
      </c>
      <c r="F9" s="150">
        <f>ROUND(COMPOSIÇÕES!K31,2)</f>
        <v>29.82</v>
      </c>
      <c r="G9" s="151">
        <f>ROUND(D9*F9,2)</f>
        <v>130.61000000000001</v>
      </c>
      <c r="H9" s="101"/>
      <c r="I9" s="106"/>
    </row>
    <row r="10" spans="1:9" ht="15.75" thickBot="1" x14ac:dyDescent="0.3">
      <c r="A10" s="143" t="s">
        <v>12</v>
      </c>
      <c r="B10" s="144"/>
      <c r="C10" s="153" t="s">
        <v>27</v>
      </c>
      <c r="D10" s="144"/>
      <c r="E10" s="144"/>
      <c r="F10" s="153"/>
      <c r="G10" s="154">
        <f>SUM(G11:G14)</f>
        <v>2597.1975000000002</v>
      </c>
      <c r="H10" s="101"/>
      <c r="I10" s="108"/>
    </row>
    <row r="11" spans="1:9" ht="51.75" x14ac:dyDescent="0.25">
      <c r="A11" s="152" t="s">
        <v>13</v>
      </c>
      <c r="B11" s="138" t="s">
        <v>393</v>
      </c>
      <c r="C11" s="139" t="s">
        <v>394</v>
      </c>
      <c r="D11" s="140">
        <f>'Memoria de Cálculo'!K23</f>
        <v>2.94</v>
      </c>
      <c r="E11" s="140" t="s">
        <v>26</v>
      </c>
      <c r="F11" s="141">
        <v>56.47</v>
      </c>
      <c r="G11" s="142">
        <f>ROUND(D11*F11,2)</f>
        <v>166.02</v>
      </c>
      <c r="H11" s="101"/>
      <c r="I11" s="106">
        <v>40.78</v>
      </c>
    </row>
    <row r="12" spans="1:9" ht="51.75" x14ac:dyDescent="0.25">
      <c r="A12" s="109" t="s">
        <v>16</v>
      </c>
      <c r="B12" s="110" t="s">
        <v>56</v>
      </c>
      <c r="C12" s="111" t="s">
        <v>55</v>
      </c>
      <c r="D12" s="105">
        <f>'Memoria de Cálculo'!K28</f>
        <v>19.21</v>
      </c>
      <c r="E12" s="105" t="s">
        <v>26</v>
      </c>
      <c r="F12" s="106">
        <f>90+27</f>
        <v>117</v>
      </c>
      <c r="G12" s="107">
        <f>D12*F12</f>
        <v>2247.5700000000002</v>
      </c>
      <c r="H12" s="101"/>
      <c r="I12" s="106">
        <f>90+25</f>
        <v>115</v>
      </c>
    </row>
    <row r="13" spans="1:9" ht="46.5" customHeight="1" x14ac:dyDescent="0.25">
      <c r="A13" s="109" t="s">
        <v>314</v>
      </c>
      <c r="B13" s="110" t="s">
        <v>318</v>
      </c>
      <c r="C13" s="111" t="s">
        <v>316</v>
      </c>
      <c r="D13" s="105">
        <f>'Memoria de Cálculo'!K37</f>
        <v>5.25</v>
      </c>
      <c r="E13" s="105" t="s">
        <v>26</v>
      </c>
      <c r="F13" s="106">
        <v>30.77</v>
      </c>
      <c r="G13" s="107">
        <f>D13*F13</f>
        <v>161.54249999999999</v>
      </c>
      <c r="H13" s="101"/>
      <c r="I13" s="106"/>
    </row>
    <row r="14" spans="1:9" ht="29.25" customHeight="1" thickBot="1" x14ac:dyDescent="0.3">
      <c r="A14" s="155" t="s">
        <v>317</v>
      </c>
      <c r="B14" s="156" t="s">
        <v>319</v>
      </c>
      <c r="C14" s="157" t="s">
        <v>315</v>
      </c>
      <c r="D14" s="149">
        <v>1.5</v>
      </c>
      <c r="E14" s="149" t="s">
        <v>65</v>
      </c>
      <c r="F14" s="150">
        <v>14.71</v>
      </c>
      <c r="G14" s="151">
        <f>D14*F14</f>
        <v>22.065000000000001</v>
      </c>
      <c r="H14" s="101"/>
      <c r="I14" s="106"/>
    </row>
    <row r="15" spans="1:9" ht="15.75" thickBot="1" x14ac:dyDescent="0.3">
      <c r="A15" s="143" t="s">
        <v>17</v>
      </c>
      <c r="B15" s="144"/>
      <c r="C15" s="153" t="s">
        <v>400</v>
      </c>
      <c r="D15" s="144"/>
      <c r="E15" s="144"/>
      <c r="F15" s="153"/>
      <c r="G15" s="154">
        <f>SUM(G16:G18)</f>
        <v>1886.42</v>
      </c>
      <c r="H15" s="101"/>
      <c r="I15" s="108"/>
    </row>
    <row r="16" spans="1:9" ht="26.25" x14ac:dyDescent="0.25">
      <c r="A16" s="152" t="s">
        <v>52</v>
      </c>
      <c r="B16" s="158" t="s">
        <v>286</v>
      </c>
      <c r="C16" s="159" t="s">
        <v>287</v>
      </c>
      <c r="D16" s="158">
        <v>1</v>
      </c>
      <c r="E16" s="160" t="s">
        <v>368</v>
      </c>
      <c r="F16" s="141">
        <v>1010.58</v>
      </c>
      <c r="G16" s="142">
        <f>ROUND(D16*F16,2)</f>
        <v>1010.58</v>
      </c>
      <c r="H16" s="101" t="s">
        <v>14</v>
      </c>
      <c r="I16" s="115">
        <v>803.33</v>
      </c>
    </row>
    <row r="17" spans="1:9" x14ac:dyDescent="0.25">
      <c r="A17" s="109" t="s">
        <v>53</v>
      </c>
      <c r="B17" s="112" t="s">
        <v>324</v>
      </c>
      <c r="C17" s="116" t="s">
        <v>325</v>
      </c>
      <c r="D17" s="112">
        <f>'Memoria de Cálculo'!K44</f>
        <v>4.38</v>
      </c>
      <c r="E17" s="112" t="s">
        <v>26</v>
      </c>
      <c r="F17" s="106">
        <v>37.47</v>
      </c>
      <c r="G17" s="107">
        <f>ROUND(D17*F17,2)</f>
        <v>164.12</v>
      </c>
      <c r="H17" s="101"/>
      <c r="I17" s="115"/>
    </row>
    <row r="18" spans="1:9" ht="27" thickBot="1" x14ac:dyDescent="0.3">
      <c r="A18" s="155" t="s">
        <v>91</v>
      </c>
      <c r="B18" s="161" t="s">
        <v>284</v>
      </c>
      <c r="C18" s="162" t="s">
        <v>285</v>
      </c>
      <c r="D18" s="161">
        <f>'Memoria de Cálculo'!K50</f>
        <v>1.8900000000000001</v>
      </c>
      <c r="E18" s="161" t="s">
        <v>26</v>
      </c>
      <c r="F18" s="150">
        <v>376.57</v>
      </c>
      <c r="G18" s="151">
        <f>ROUND(D18*F18,2)</f>
        <v>711.72</v>
      </c>
      <c r="H18" s="101"/>
      <c r="I18" s="115"/>
    </row>
    <row r="19" spans="1:9" s="3" customFormat="1" ht="15.75" thickBot="1" x14ac:dyDescent="0.3">
      <c r="A19" s="143" t="s">
        <v>19</v>
      </c>
      <c r="B19" s="144"/>
      <c r="C19" s="166" t="s">
        <v>54</v>
      </c>
      <c r="D19" s="144"/>
      <c r="E19" s="144"/>
      <c r="F19" s="153"/>
      <c r="G19" s="154">
        <f>SUM(G20:G23)</f>
        <v>803.58616666666671</v>
      </c>
      <c r="H19" s="117"/>
      <c r="I19" s="108"/>
    </row>
    <row r="20" spans="1:9" ht="39" x14ac:dyDescent="0.25">
      <c r="A20" s="163" t="s">
        <v>380</v>
      </c>
      <c r="B20" s="161" t="s">
        <v>466</v>
      </c>
      <c r="C20" s="198" t="s">
        <v>467</v>
      </c>
      <c r="D20" s="178">
        <f>'Memoria de Cálculo'!K57</f>
        <v>10</v>
      </c>
      <c r="E20" s="158" t="s">
        <v>26</v>
      </c>
      <c r="F20" s="141">
        <v>2.39</v>
      </c>
      <c r="G20" s="165">
        <f>D20*F20</f>
        <v>23.900000000000002</v>
      </c>
      <c r="H20" s="101" t="s">
        <v>18</v>
      </c>
      <c r="I20" s="115">
        <v>2.44</v>
      </c>
    </row>
    <row r="21" spans="1:9" ht="51.75" x14ac:dyDescent="0.25">
      <c r="A21" s="122" t="s">
        <v>381</v>
      </c>
      <c r="B21" s="104" t="s">
        <v>470</v>
      </c>
      <c r="C21" s="113" t="s">
        <v>471</v>
      </c>
      <c r="D21" s="112">
        <f>'Memoria de Cálculo'!K63</f>
        <v>10</v>
      </c>
      <c r="E21" s="112" t="s">
        <v>26</v>
      </c>
      <c r="F21" s="106">
        <v>20.8</v>
      </c>
      <c r="G21" s="119">
        <f>D21*F21</f>
        <v>208</v>
      </c>
      <c r="H21" s="101"/>
      <c r="I21" s="115">
        <v>20.88</v>
      </c>
    </row>
    <row r="22" spans="1:9" ht="39" x14ac:dyDescent="0.25">
      <c r="A22" s="122" t="s">
        <v>382</v>
      </c>
      <c r="B22" s="112" t="s">
        <v>280</v>
      </c>
      <c r="C22" s="113" t="s">
        <v>281</v>
      </c>
      <c r="D22" s="112">
        <f>'Memoria de Cálculo'!K69</f>
        <v>10</v>
      </c>
      <c r="E22" s="112" t="s">
        <v>26</v>
      </c>
      <c r="F22" s="106">
        <v>50.97</v>
      </c>
      <c r="G22" s="119">
        <f>D22*F22</f>
        <v>509.7</v>
      </c>
      <c r="H22" s="101"/>
      <c r="I22" s="115"/>
    </row>
    <row r="23" spans="1:9" ht="27" thickBot="1" x14ac:dyDescent="0.3">
      <c r="A23" s="167" t="s">
        <v>383</v>
      </c>
      <c r="B23" s="161" t="s">
        <v>311</v>
      </c>
      <c r="C23" s="162" t="s">
        <v>289</v>
      </c>
      <c r="D23" s="161">
        <f>1.75*1</f>
        <v>1.75</v>
      </c>
      <c r="E23" s="161" t="s">
        <v>26</v>
      </c>
      <c r="F23" s="150">
        <f>COMPOSIÇÕES!T10</f>
        <v>35.420666666666669</v>
      </c>
      <c r="G23" s="168">
        <f>D23*F23</f>
        <v>61.986166666666669</v>
      </c>
      <c r="H23" s="101"/>
      <c r="I23" s="115"/>
    </row>
    <row r="24" spans="1:9" ht="15.75" thickBot="1" x14ac:dyDescent="0.3">
      <c r="A24" s="143" t="s">
        <v>57</v>
      </c>
      <c r="B24" s="144"/>
      <c r="C24" s="166" t="s">
        <v>20</v>
      </c>
      <c r="D24" s="144"/>
      <c r="E24" s="144"/>
      <c r="F24" s="153"/>
      <c r="G24" s="154">
        <f>SUM(G25:G29)</f>
        <v>1699.62275</v>
      </c>
      <c r="H24" s="101"/>
      <c r="I24" s="108"/>
    </row>
    <row r="25" spans="1:9" ht="26.25" x14ac:dyDescent="0.25">
      <c r="A25" s="163" t="s">
        <v>58</v>
      </c>
      <c r="B25" s="158" t="s">
        <v>138</v>
      </c>
      <c r="C25" s="164" t="s">
        <v>278</v>
      </c>
      <c r="D25" s="158">
        <f>'Memoria de Cálculo'!K84</f>
        <v>63.67</v>
      </c>
      <c r="E25" s="158" t="s">
        <v>26</v>
      </c>
      <c r="F25" s="141">
        <v>1.57</v>
      </c>
      <c r="G25" s="165">
        <f>D25*F25</f>
        <v>99.9619</v>
      </c>
      <c r="H25" s="101" t="s">
        <v>21</v>
      </c>
      <c r="I25" s="115">
        <v>1.66</v>
      </c>
    </row>
    <row r="26" spans="1:9" ht="26.25" x14ac:dyDescent="0.25">
      <c r="A26" s="163" t="s">
        <v>59</v>
      </c>
      <c r="B26" s="123" t="s">
        <v>137</v>
      </c>
      <c r="C26" s="118" t="s">
        <v>279</v>
      </c>
      <c r="D26" s="112">
        <f>'Memoria de Cálculo'!K92</f>
        <v>63.67</v>
      </c>
      <c r="E26" s="112" t="s">
        <v>26</v>
      </c>
      <c r="F26" s="106">
        <v>8.52</v>
      </c>
      <c r="G26" s="119">
        <f>D26*F26</f>
        <v>542.46839999999997</v>
      </c>
      <c r="H26" s="101" t="s">
        <v>22</v>
      </c>
      <c r="I26" s="115">
        <v>8.19</v>
      </c>
    </row>
    <row r="27" spans="1:9" ht="26.25" x14ac:dyDescent="0.25">
      <c r="A27" s="163" t="s">
        <v>282</v>
      </c>
      <c r="B27" s="123" t="s">
        <v>135</v>
      </c>
      <c r="C27" s="118" t="s">
        <v>136</v>
      </c>
      <c r="D27" s="112">
        <f>'Memoria de Cálculo'!K101</f>
        <v>96.67</v>
      </c>
      <c r="E27" s="112" t="s">
        <v>26</v>
      </c>
      <c r="F27" s="106">
        <v>9.25</v>
      </c>
      <c r="G27" s="119">
        <f>D27*F27</f>
        <v>894.19749999999999</v>
      </c>
      <c r="H27" s="101" t="s">
        <v>23</v>
      </c>
      <c r="I27" s="115">
        <v>9.65</v>
      </c>
    </row>
    <row r="28" spans="1:9" x14ac:dyDescent="0.25">
      <c r="A28" s="163" t="s">
        <v>283</v>
      </c>
      <c r="B28" s="123" t="s">
        <v>144</v>
      </c>
      <c r="C28" s="118" t="s">
        <v>143</v>
      </c>
      <c r="D28" s="112">
        <f>'Memoria de Cálculo'!K108</f>
        <v>4.5449999999999999</v>
      </c>
      <c r="E28" s="112" t="s">
        <v>26</v>
      </c>
      <c r="F28" s="106">
        <v>11.91</v>
      </c>
      <c r="G28" s="119">
        <f>D28*F28</f>
        <v>54.130949999999999</v>
      </c>
      <c r="H28" s="101"/>
      <c r="I28" s="115">
        <v>11.32</v>
      </c>
    </row>
    <row r="29" spans="1:9" ht="52.5" thickBot="1" x14ac:dyDescent="0.3">
      <c r="A29" s="163" t="s">
        <v>384</v>
      </c>
      <c r="B29" s="174" t="s">
        <v>320</v>
      </c>
      <c r="C29" s="162" t="s">
        <v>321</v>
      </c>
      <c r="D29" s="161">
        <f>'Memoria de Cálculo'!K114</f>
        <v>3.7800000000000002</v>
      </c>
      <c r="E29" s="161" t="s">
        <v>26</v>
      </c>
      <c r="F29" s="150">
        <v>28.8</v>
      </c>
      <c r="G29" s="168">
        <f>D29*F29</f>
        <v>108.864</v>
      </c>
      <c r="H29" s="101"/>
      <c r="I29" s="115"/>
    </row>
    <row r="30" spans="1:9" ht="15.75" thickBot="1" x14ac:dyDescent="0.3">
      <c r="A30" s="143" t="s">
        <v>62</v>
      </c>
      <c r="B30" s="144"/>
      <c r="C30" s="145" t="s">
        <v>132</v>
      </c>
      <c r="D30" s="144"/>
      <c r="E30" s="144"/>
      <c r="F30" s="144"/>
      <c r="G30" s="154">
        <f>ROUND(SUM(G31:G31),2)</f>
        <v>513.15</v>
      </c>
      <c r="H30" s="101"/>
      <c r="I30" s="102"/>
    </row>
    <row r="31" spans="1:9" ht="27" thickBot="1" x14ac:dyDescent="0.3">
      <c r="A31" s="175" t="s">
        <v>63</v>
      </c>
      <c r="B31" s="176" t="s">
        <v>312</v>
      </c>
      <c r="C31" s="177" t="s">
        <v>313</v>
      </c>
      <c r="D31" s="178">
        <f>'Memoria de Cálculo'!K121</f>
        <v>5</v>
      </c>
      <c r="E31" s="178" t="s">
        <v>26</v>
      </c>
      <c r="F31" s="179">
        <v>102.63</v>
      </c>
      <c r="G31" s="180">
        <f>D31*F31</f>
        <v>513.15</v>
      </c>
      <c r="H31" s="101"/>
      <c r="I31" s="115">
        <v>71.349999999999994</v>
      </c>
    </row>
    <row r="32" spans="1:9" ht="15.75" thickBot="1" x14ac:dyDescent="0.3">
      <c r="A32" s="143" t="s">
        <v>66</v>
      </c>
      <c r="B32" s="144"/>
      <c r="C32" s="166" t="s">
        <v>578</v>
      </c>
      <c r="D32" s="144"/>
      <c r="E32" s="144"/>
      <c r="F32" s="144"/>
      <c r="G32" s="154">
        <f>ROUND(SUM(G33:G55),2)</f>
        <v>8149.57</v>
      </c>
      <c r="H32" s="101"/>
      <c r="I32" s="102"/>
    </row>
    <row r="33" spans="1:9" ht="39" x14ac:dyDescent="0.25">
      <c r="A33" s="169" t="s">
        <v>67</v>
      </c>
      <c r="B33" s="269" t="s">
        <v>111</v>
      </c>
      <c r="C33" s="268" t="s">
        <v>348</v>
      </c>
      <c r="D33" s="158">
        <f>80*5</f>
        <v>400</v>
      </c>
      <c r="E33" s="158" t="s">
        <v>65</v>
      </c>
      <c r="F33" s="141">
        <v>4.87</v>
      </c>
      <c r="G33" s="165">
        <f>D33*F33</f>
        <v>1948</v>
      </c>
      <c r="H33" s="101"/>
      <c r="I33" s="115">
        <v>377.65</v>
      </c>
    </row>
    <row r="34" spans="1:9" ht="38.25" x14ac:dyDescent="0.25">
      <c r="A34" s="169" t="s">
        <v>482</v>
      </c>
      <c r="B34" s="249" t="s">
        <v>109</v>
      </c>
      <c r="C34" s="251" t="s">
        <v>349</v>
      </c>
      <c r="D34" s="112">
        <v>25</v>
      </c>
      <c r="E34" s="112" t="s">
        <v>65</v>
      </c>
      <c r="F34" s="106">
        <v>2.21</v>
      </c>
      <c r="G34" s="119">
        <f t="shared" ref="G34:G55" si="0">D34*F34</f>
        <v>55.25</v>
      </c>
      <c r="H34" s="101"/>
      <c r="I34" s="115">
        <v>8.68</v>
      </c>
    </row>
    <row r="35" spans="1:9" ht="39" x14ac:dyDescent="0.25">
      <c r="A35" s="169" t="s">
        <v>483</v>
      </c>
      <c r="B35" s="249" t="s">
        <v>110</v>
      </c>
      <c r="C35" s="250" t="s">
        <v>378</v>
      </c>
      <c r="D35" s="112">
        <f>94.8*1.2</f>
        <v>113.75999999999999</v>
      </c>
      <c r="E35" s="112" t="s">
        <v>65</v>
      </c>
      <c r="F35" s="106">
        <v>3.56</v>
      </c>
      <c r="G35" s="119">
        <f t="shared" si="0"/>
        <v>404.98559999999998</v>
      </c>
      <c r="H35" s="101"/>
      <c r="I35" s="115">
        <v>9.31</v>
      </c>
    </row>
    <row r="36" spans="1:9" x14ac:dyDescent="0.25">
      <c r="A36" s="169" t="s">
        <v>551</v>
      </c>
      <c r="B36" s="249" t="s">
        <v>333</v>
      </c>
      <c r="C36" s="251" t="s">
        <v>350</v>
      </c>
      <c r="D36" s="112">
        <v>5</v>
      </c>
      <c r="E36" s="112" t="s">
        <v>368</v>
      </c>
      <c r="F36" s="106">
        <v>125.04</v>
      </c>
      <c r="G36" s="119">
        <f t="shared" si="0"/>
        <v>625.20000000000005</v>
      </c>
      <c r="H36" s="101"/>
      <c r="I36" s="115">
        <v>72.02</v>
      </c>
    </row>
    <row r="37" spans="1:9" ht="26.25" x14ac:dyDescent="0.25">
      <c r="A37" s="169" t="s">
        <v>552</v>
      </c>
      <c r="B37" s="249" t="s">
        <v>334</v>
      </c>
      <c r="C37" s="250" t="s">
        <v>351</v>
      </c>
      <c r="D37" s="112">
        <v>1</v>
      </c>
      <c r="E37" s="112" t="s">
        <v>368</v>
      </c>
      <c r="F37" s="106">
        <v>9.7899999999999991</v>
      </c>
      <c r="G37" s="119">
        <f t="shared" si="0"/>
        <v>9.7899999999999991</v>
      </c>
      <c r="H37" s="101"/>
      <c r="I37" s="115">
        <v>5.12</v>
      </c>
    </row>
    <row r="38" spans="1:9" ht="26.25" x14ac:dyDescent="0.25">
      <c r="A38" s="169" t="s">
        <v>553</v>
      </c>
      <c r="B38" s="249" t="s">
        <v>107</v>
      </c>
      <c r="C38" s="250" t="s">
        <v>352</v>
      </c>
      <c r="D38" s="112">
        <v>2</v>
      </c>
      <c r="E38" s="112" t="s">
        <v>368</v>
      </c>
      <c r="F38" s="106">
        <v>10.14</v>
      </c>
      <c r="G38" s="119">
        <f t="shared" si="0"/>
        <v>20.28</v>
      </c>
      <c r="H38" s="101"/>
      <c r="I38" s="115">
        <v>2.19</v>
      </c>
    </row>
    <row r="39" spans="1:9" ht="26.25" x14ac:dyDescent="0.25">
      <c r="A39" s="169" t="s">
        <v>554</v>
      </c>
      <c r="B39" s="249" t="s">
        <v>108</v>
      </c>
      <c r="C39" s="250" t="s">
        <v>379</v>
      </c>
      <c r="D39" s="112">
        <v>2</v>
      </c>
      <c r="E39" s="112" t="s">
        <v>368</v>
      </c>
      <c r="F39" s="106">
        <v>10.76</v>
      </c>
      <c r="G39" s="119">
        <f t="shared" si="0"/>
        <v>21.52</v>
      </c>
      <c r="H39" s="101"/>
      <c r="I39" s="115">
        <v>59.7</v>
      </c>
    </row>
    <row r="40" spans="1:9" ht="26.25" x14ac:dyDescent="0.25">
      <c r="A40" s="169" t="s">
        <v>555</v>
      </c>
      <c r="B40" s="249" t="s">
        <v>335</v>
      </c>
      <c r="C40" s="250" t="s">
        <v>353</v>
      </c>
      <c r="D40" s="112">
        <v>1</v>
      </c>
      <c r="E40" s="112" t="s">
        <v>368</v>
      </c>
      <c r="F40" s="106">
        <v>68.52</v>
      </c>
      <c r="G40" s="119">
        <f t="shared" si="0"/>
        <v>68.52</v>
      </c>
      <c r="H40" s="101"/>
      <c r="I40" s="115">
        <v>16.399999999999999</v>
      </c>
    </row>
    <row r="41" spans="1:9" ht="26.25" x14ac:dyDescent="0.25">
      <c r="A41" s="169" t="s">
        <v>556</v>
      </c>
      <c r="B41" s="249" t="s">
        <v>543</v>
      </c>
      <c r="C41" s="250" t="s">
        <v>544</v>
      </c>
      <c r="D41" s="112">
        <v>1</v>
      </c>
      <c r="E41" s="112" t="s">
        <v>368</v>
      </c>
      <c r="F41" s="106">
        <v>72.3</v>
      </c>
      <c r="G41" s="119">
        <f t="shared" si="0"/>
        <v>72.3</v>
      </c>
      <c r="H41" s="101"/>
      <c r="I41" s="115">
        <v>5.43</v>
      </c>
    </row>
    <row r="42" spans="1:9" ht="39" x14ac:dyDescent="0.25">
      <c r="A42" s="169" t="s">
        <v>557</v>
      </c>
      <c r="B42" s="252" t="s">
        <v>338</v>
      </c>
      <c r="C42" s="253" t="s">
        <v>354</v>
      </c>
      <c r="D42" s="112">
        <v>20</v>
      </c>
      <c r="E42" s="112" t="s">
        <v>65</v>
      </c>
      <c r="F42" s="106">
        <v>9.6355700000000013</v>
      </c>
      <c r="G42" s="119">
        <f t="shared" si="0"/>
        <v>192.71140000000003</v>
      </c>
      <c r="H42" s="101"/>
      <c r="I42" s="115">
        <v>7.31</v>
      </c>
    </row>
    <row r="43" spans="1:9" ht="39" x14ac:dyDescent="0.25">
      <c r="A43" s="169" t="s">
        <v>558</v>
      </c>
      <c r="B43" s="252" t="s">
        <v>545</v>
      </c>
      <c r="C43" s="253" t="s">
        <v>355</v>
      </c>
      <c r="D43" s="112">
        <v>9</v>
      </c>
      <c r="E43" s="112" t="s">
        <v>65</v>
      </c>
      <c r="F43" s="106">
        <v>11.241119999999999</v>
      </c>
      <c r="G43" s="119">
        <f t="shared" si="0"/>
        <v>101.17007999999998</v>
      </c>
      <c r="H43" s="101"/>
      <c r="I43" s="115">
        <v>9.35</v>
      </c>
    </row>
    <row r="44" spans="1:9" ht="39" x14ac:dyDescent="0.25">
      <c r="A44" s="169" t="s">
        <v>559</v>
      </c>
      <c r="B44" s="252" t="s">
        <v>337</v>
      </c>
      <c r="C44" s="253" t="s">
        <v>356</v>
      </c>
      <c r="D44" s="112">
        <v>80</v>
      </c>
      <c r="E44" s="112" t="s">
        <v>65</v>
      </c>
      <c r="F44" s="106">
        <v>15.868659999999998</v>
      </c>
      <c r="G44" s="119">
        <f t="shared" si="0"/>
        <v>1269.4928</v>
      </c>
      <c r="H44" s="101"/>
      <c r="I44" s="115">
        <v>3.18</v>
      </c>
    </row>
    <row r="45" spans="1:9" ht="25.5" x14ac:dyDescent="0.25">
      <c r="A45" s="169" t="s">
        <v>560</v>
      </c>
      <c r="B45" s="254" t="s">
        <v>526</v>
      </c>
      <c r="C45" s="255" t="s">
        <v>357</v>
      </c>
      <c r="D45" s="112">
        <v>1</v>
      </c>
      <c r="E45" s="112" t="s">
        <v>368</v>
      </c>
      <c r="F45" s="106">
        <v>58.91</v>
      </c>
      <c r="G45" s="119">
        <f t="shared" si="0"/>
        <v>58.91</v>
      </c>
      <c r="H45" s="101"/>
      <c r="I45" s="115">
        <v>9.24</v>
      </c>
    </row>
    <row r="46" spans="1:9" ht="51" x14ac:dyDescent="0.25">
      <c r="A46" s="169" t="s">
        <v>561</v>
      </c>
      <c r="B46" s="252" t="s">
        <v>341</v>
      </c>
      <c r="C46" s="256" t="s">
        <v>358</v>
      </c>
      <c r="D46" s="112">
        <v>6</v>
      </c>
      <c r="E46" s="112" t="s">
        <v>368</v>
      </c>
      <c r="F46" s="106">
        <v>183.97901999999999</v>
      </c>
      <c r="G46" s="119">
        <f t="shared" si="0"/>
        <v>1103.8741199999999</v>
      </c>
      <c r="H46" s="101"/>
      <c r="I46" s="115">
        <v>21.29</v>
      </c>
    </row>
    <row r="47" spans="1:9" ht="26.25" x14ac:dyDescent="0.25">
      <c r="A47" s="169" t="s">
        <v>562</v>
      </c>
      <c r="B47" s="252" t="s">
        <v>339</v>
      </c>
      <c r="C47" s="253" t="s">
        <v>359</v>
      </c>
      <c r="D47" s="112">
        <v>5</v>
      </c>
      <c r="E47" s="112" t="s">
        <v>368</v>
      </c>
      <c r="F47" s="106">
        <v>50.53</v>
      </c>
      <c r="G47" s="119">
        <f t="shared" si="0"/>
        <v>252.65</v>
      </c>
      <c r="H47" s="101"/>
      <c r="I47" s="115">
        <v>2.21</v>
      </c>
    </row>
    <row r="48" spans="1:9" ht="39" x14ac:dyDescent="0.25">
      <c r="A48" s="169" t="s">
        <v>563</v>
      </c>
      <c r="B48" s="252" t="s">
        <v>340</v>
      </c>
      <c r="C48" s="253" t="s">
        <v>360</v>
      </c>
      <c r="D48" s="112">
        <v>1</v>
      </c>
      <c r="E48" s="112" t="s">
        <v>368</v>
      </c>
      <c r="F48" s="106">
        <v>80.960000000000008</v>
      </c>
      <c r="G48" s="119">
        <f t="shared" si="0"/>
        <v>80.960000000000008</v>
      </c>
      <c r="H48" s="101"/>
      <c r="I48" s="115">
        <v>3.07</v>
      </c>
    </row>
    <row r="49" spans="1:9" ht="39" x14ac:dyDescent="0.25">
      <c r="A49" s="169" t="s">
        <v>564</v>
      </c>
      <c r="B49" s="252" t="s">
        <v>539</v>
      </c>
      <c r="C49" s="253" t="s">
        <v>361</v>
      </c>
      <c r="D49" s="112">
        <v>11</v>
      </c>
      <c r="E49" s="112" t="s">
        <v>368</v>
      </c>
      <c r="F49" s="106">
        <v>125.63000000000001</v>
      </c>
      <c r="G49" s="119">
        <f t="shared" si="0"/>
        <v>1381.93</v>
      </c>
      <c r="H49" s="101"/>
      <c r="I49" s="115">
        <v>4.43</v>
      </c>
    </row>
    <row r="50" spans="1:9" ht="51.75" x14ac:dyDescent="0.25">
      <c r="A50" s="169" t="s">
        <v>565</v>
      </c>
      <c r="B50" s="252" t="s">
        <v>336</v>
      </c>
      <c r="C50" s="253" t="s">
        <v>362</v>
      </c>
      <c r="D50" s="112">
        <v>1</v>
      </c>
      <c r="E50" s="112" t="s">
        <v>368</v>
      </c>
      <c r="F50" s="106">
        <v>405.28</v>
      </c>
      <c r="G50" s="119">
        <f t="shared" si="0"/>
        <v>405.28</v>
      </c>
      <c r="H50" s="101"/>
      <c r="I50" s="115">
        <v>6.34</v>
      </c>
    </row>
    <row r="51" spans="1:9" x14ac:dyDescent="0.25">
      <c r="A51" s="169" t="s">
        <v>566</v>
      </c>
      <c r="B51" s="252" t="s">
        <v>343</v>
      </c>
      <c r="C51" s="253" t="s">
        <v>363</v>
      </c>
      <c r="D51" s="112">
        <v>1</v>
      </c>
      <c r="E51" s="112" t="s">
        <v>368</v>
      </c>
      <c r="F51" s="106">
        <v>25.29</v>
      </c>
      <c r="G51" s="119">
        <f t="shared" si="0"/>
        <v>25.29</v>
      </c>
      <c r="H51" s="101"/>
      <c r="I51" s="115">
        <v>224.48</v>
      </c>
    </row>
    <row r="52" spans="1:9" ht="26.25" x14ac:dyDescent="0.25">
      <c r="A52" s="169" t="s">
        <v>567</v>
      </c>
      <c r="B52" s="249" t="s">
        <v>344</v>
      </c>
      <c r="C52" s="257" t="s">
        <v>364</v>
      </c>
      <c r="D52" s="112">
        <v>1</v>
      </c>
      <c r="E52" s="112" t="s">
        <v>368</v>
      </c>
      <c r="F52" s="106">
        <v>17.23</v>
      </c>
      <c r="G52" s="119">
        <f t="shared" si="0"/>
        <v>17.23</v>
      </c>
      <c r="H52" s="101"/>
      <c r="I52" s="115">
        <v>24.1</v>
      </c>
    </row>
    <row r="53" spans="1:9" ht="26.25" x14ac:dyDescent="0.25">
      <c r="A53" s="169" t="s">
        <v>568</v>
      </c>
      <c r="B53" s="249" t="s">
        <v>345</v>
      </c>
      <c r="C53" s="250" t="s">
        <v>365</v>
      </c>
      <c r="D53" s="112">
        <v>11</v>
      </c>
      <c r="E53" s="112" t="s">
        <v>368</v>
      </c>
      <c r="F53" s="106">
        <v>1.1499999999999999</v>
      </c>
      <c r="G53" s="119">
        <f t="shared" si="0"/>
        <v>12.649999999999999</v>
      </c>
      <c r="H53" s="101"/>
      <c r="I53" s="115">
        <v>30.55</v>
      </c>
    </row>
    <row r="54" spans="1:9" ht="26.25" x14ac:dyDescent="0.25">
      <c r="A54" s="169" t="s">
        <v>569</v>
      </c>
      <c r="B54" s="249" t="s">
        <v>346</v>
      </c>
      <c r="C54" s="250" t="s">
        <v>366</v>
      </c>
      <c r="D54" s="112">
        <v>6</v>
      </c>
      <c r="E54" s="112" t="s">
        <v>368</v>
      </c>
      <c r="F54" s="106">
        <v>1.28</v>
      </c>
      <c r="G54" s="119">
        <f t="shared" si="0"/>
        <v>7.68</v>
      </c>
      <c r="H54" s="101"/>
      <c r="I54" s="115"/>
    </row>
    <row r="55" spans="1:9" s="100" customFormat="1" ht="27" thickBot="1" x14ac:dyDescent="0.3">
      <c r="A55" s="169" t="s">
        <v>570</v>
      </c>
      <c r="B55" s="267" t="s">
        <v>347</v>
      </c>
      <c r="C55" s="260" t="s">
        <v>367</v>
      </c>
      <c r="D55" s="161">
        <v>10</v>
      </c>
      <c r="E55" s="161" t="s">
        <v>368</v>
      </c>
      <c r="F55" s="150">
        <v>1.39</v>
      </c>
      <c r="G55" s="168">
        <f t="shared" si="0"/>
        <v>13.899999999999999</v>
      </c>
      <c r="H55" s="124">
        <f>SUM(G55:G55)</f>
        <v>13.899999999999999</v>
      </c>
      <c r="I55" s="115"/>
    </row>
    <row r="56" spans="1:9" s="220" customFormat="1" ht="15.75" thickBot="1" x14ac:dyDescent="0.3">
      <c r="A56" s="143" t="s">
        <v>128</v>
      </c>
      <c r="B56" s="166"/>
      <c r="C56" s="166" t="s">
        <v>112</v>
      </c>
      <c r="D56" s="166"/>
      <c r="E56" s="166"/>
      <c r="F56" s="166"/>
      <c r="G56" s="154">
        <f>ROUND(SUM(G57:G58),2)</f>
        <v>1365.08</v>
      </c>
      <c r="H56" s="124"/>
      <c r="I56" s="115"/>
    </row>
    <row r="57" spans="1:9" s="220" customFormat="1" ht="51.75" x14ac:dyDescent="0.25">
      <c r="A57" s="169" t="s">
        <v>129</v>
      </c>
      <c r="B57" s="261" t="s">
        <v>376</v>
      </c>
      <c r="C57" s="268" t="s">
        <v>377</v>
      </c>
      <c r="D57" s="158">
        <v>10</v>
      </c>
      <c r="E57" s="158" t="s">
        <v>65</v>
      </c>
      <c r="F57" s="141">
        <v>121.76</v>
      </c>
      <c r="G57" s="165">
        <v>1217.5999999999999</v>
      </c>
      <c r="H57" s="124"/>
      <c r="I57" s="115"/>
    </row>
    <row r="58" spans="1:9" s="220" customFormat="1" ht="15.75" thickBot="1" x14ac:dyDescent="0.3">
      <c r="A58" s="120" t="s">
        <v>385</v>
      </c>
      <c r="B58" s="259" t="s">
        <v>342</v>
      </c>
      <c r="C58" s="260" t="s">
        <v>546</v>
      </c>
      <c r="D58" s="161">
        <v>2</v>
      </c>
      <c r="E58" s="161" t="s">
        <v>368</v>
      </c>
      <c r="F58" s="150">
        <v>73.73899999999999</v>
      </c>
      <c r="G58" s="168">
        <v>147.47999999999999</v>
      </c>
      <c r="H58" s="124"/>
      <c r="I58" s="115"/>
    </row>
    <row r="59" spans="1:9" s="220" customFormat="1" ht="15.75" thickBot="1" x14ac:dyDescent="0.3">
      <c r="A59" s="143" t="s">
        <v>133</v>
      </c>
      <c r="B59" s="144"/>
      <c r="C59" s="166" t="s">
        <v>547</v>
      </c>
      <c r="D59" s="144"/>
      <c r="E59" s="144"/>
      <c r="F59" s="144"/>
      <c r="G59" s="154">
        <f>ROUND(SUM(G60:G63),2)</f>
        <v>2307.6</v>
      </c>
      <c r="H59" s="124"/>
      <c r="I59" s="115"/>
    </row>
    <row r="60" spans="1:9" s="220" customFormat="1" x14ac:dyDescent="0.25">
      <c r="A60" s="120" t="s">
        <v>134</v>
      </c>
      <c r="B60" s="261" t="s">
        <v>369</v>
      </c>
      <c r="C60" s="262" t="s">
        <v>371</v>
      </c>
      <c r="D60" s="158">
        <v>25</v>
      </c>
      <c r="E60" s="158" t="s">
        <v>65</v>
      </c>
      <c r="F60" s="141">
        <v>26.32</v>
      </c>
      <c r="G60" s="165">
        <v>658</v>
      </c>
      <c r="H60" s="124"/>
      <c r="I60" s="115"/>
    </row>
    <row r="61" spans="1:9" s="220" customFormat="1" x14ac:dyDescent="0.25">
      <c r="A61" s="120" t="s">
        <v>502</v>
      </c>
      <c r="B61" s="258" t="s">
        <v>131</v>
      </c>
      <c r="C61" s="250" t="s">
        <v>130</v>
      </c>
      <c r="D61" s="112">
        <v>200</v>
      </c>
      <c r="E61" s="112" t="s">
        <v>65</v>
      </c>
      <c r="F61" s="106">
        <v>6.76</v>
      </c>
      <c r="G61" s="119">
        <v>1352</v>
      </c>
      <c r="H61" s="124"/>
      <c r="I61" s="115"/>
    </row>
    <row r="62" spans="1:9" s="220" customFormat="1" x14ac:dyDescent="0.25">
      <c r="A62" s="120" t="s">
        <v>512</v>
      </c>
      <c r="B62" s="258" t="s">
        <v>370</v>
      </c>
      <c r="C62" s="263" t="s">
        <v>372</v>
      </c>
      <c r="D62" s="112">
        <v>20</v>
      </c>
      <c r="E62" s="112" t="s">
        <v>368</v>
      </c>
      <c r="F62" s="106">
        <v>7.25</v>
      </c>
      <c r="G62" s="119">
        <v>145</v>
      </c>
      <c r="H62" s="124"/>
      <c r="I62" s="115"/>
    </row>
    <row r="63" spans="1:9" s="220" customFormat="1" ht="15.75" thickBot="1" x14ac:dyDescent="0.3">
      <c r="A63" s="120" t="s">
        <v>571</v>
      </c>
      <c r="B63" s="264" t="s">
        <v>548</v>
      </c>
      <c r="C63" s="265" t="s">
        <v>549</v>
      </c>
      <c r="D63" s="161">
        <v>2</v>
      </c>
      <c r="E63" s="161" t="s">
        <v>368</v>
      </c>
      <c r="F63" s="150">
        <v>76.3</v>
      </c>
      <c r="G63" s="168">
        <v>152.6</v>
      </c>
      <c r="H63" s="124"/>
      <c r="I63" s="115"/>
    </row>
    <row r="64" spans="1:9" ht="15.75" thickBot="1" x14ac:dyDescent="0.3">
      <c r="A64" s="143" t="s">
        <v>513</v>
      </c>
      <c r="B64" s="144"/>
      <c r="C64" s="166" t="s">
        <v>102</v>
      </c>
      <c r="D64" s="144"/>
      <c r="E64" s="144"/>
      <c r="F64" s="144"/>
      <c r="G64" s="154">
        <f>SUM(G65:G65)</f>
        <v>301.95</v>
      </c>
      <c r="H64" s="101"/>
      <c r="I64" s="102"/>
    </row>
    <row r="65" spans="1:9" ht="15.75" thickBot="1" x14ac:dyDescent="0.3">
      <c r="A65" s="175" t="s">
        <v>514</v>
      </c>
      <c r="B65" s="176" t="s">
        <v>106</v>
      </c>
      <c r="C65" s="177" t="s">
        <v>103</v>
      </c>
      <c r="D65" s="178">
        <v>165</v>
      </c>
      <c r="E65" s="178" t="s">
        <v>26</v>
      </c>
      <c r="F65" s="179">
        <v>1.83</v>
      </c>
      <c r="G65" s="180">
        <f>ROUND(D65*F65,2)</f>
        <v>301.95</v>
      </c>
      <c r="H65" s="101"/>
      <c r="I65" s="115">
        <v>1.66</v>
      </c>
    </row>
    <row r="66" spans="1:9" x14ac:dyDescent="0.25">
      <c r="A66" s="345" t="s">
        <v>24</v>
      </c>
      <c r="B66" s="346"/>
      <c r="C66" s="347"/>
      <c r="D66" s="208"/>
      <c r="E66" s="208"/>
      <c r="F66" s="208"/>
      <c r="G66" s="266">
        <f>ROUND(SUM(G7+G10+G15+G19+G24+G30+G32+G56+G59+G64),2)</f>
        <v>19766.43</v>
      </c>
      <c r="H66" s="101"/>
      <c r="I66" s="101"/>
    </row>
    <row r="67" spans="1:9" x14ac:dyDescent="0.25">
      <c r="A67" s="348" t="s">
        <v>141</v>
      </c>
      <c r="B67" s="349"/>
      <c r="C67" s="350"/>
      <c r="D67" s="125"/>
      <c r="E67" s="125"/>
      <c r="F67" s="125"/>
      <c r="G67" s="126">
        <f>ROUND(G66*0.2522,2)</f>
        <v>4985.09</v>
      </c>
      <c r="H67" s="101"/>
      <c r="I67" s="101"/>
    </row>
    <row r="68" spans="1:9" ht="15.75" thickBot="1" x14ac:dyDescent="0.3">
      <c r="A68" s="351" t="s">
        <v>25</v>
      </c>
      <c r="B68" s="352"/>
      <c r="C68" s="353"/>
      <c r="D68" s="127"/>
      <c r="E68" s="127"/>
      <c r="F68" s="127"/>
      <c r="G68" s="128">
        <f>ROUND(G66+G67,2)</f>
        <v>24751.52</v>
      </c>
      <c r="H68" s="101"/>
      <c r="I68" s="101"/>
    </row>
    <row r="70" spans="1:9" s="100" customFormat="1" x14ac:dyDescent="0.25"/>
    <row r="71" spans="1:9" s="100" customFormat="1" x14ac:dyDescent="0.25"/>
    <row r="72" spans="1:9" s="100" customFormat="1" x14ac:dyDescent="0.25"/>
    <row r="73" spans="1:9" s="100" customFormat="1" x14ac:dyDescent="0.25"/>
    <row r="74" spans="1:9" s="100" customFormat="1" x14ac:dyDescent="0.25"/>
    <row r="75" spans="1:9" s="100" customFormat="1" x14ac:dyDescent="0.25"/>
    <row r="76" spans="1:9" s="100" customFormat="1" x14ac:dyDescent="0.25"/>
    <row r="77" spans="1:9" s="100" customFormat="1" x14ac:dyDescent="0.25"/>
    <row r="82" spans="1:7" x14ac:dyDescent="0.25">
      <c r="A82" s="344" t="s">
        <v>399</v>
      </c>
      <c r="B82" s="344"/>
      <c r="C82" s="344"/>
      <c r="D82" s="344"/>
      <c r="E82" s="344"/>
      <c r="F82" s="344"/>
      <c r="G82" s="344"/>
    </row>
    <row r="83" spans="1:7" x14ac:dyDescent="0.25">
      <c r="A83" s="344" t="s">
        <v>395</v>
      </c>
      <c r="B83" s="344"/>
      <c r="C83" s="344"/>
      <c r="D83" s="344"/>
      <c r="E83" s="344"/>
      <c r="F83" s="344"/>
      <c r="G83" s="344"/>
    </row>
    <row r="84" spans="1:7" x14ac:dyDescent="0.25">
      <c r="A84" s="344" t="s">
        <v>396</v>
      </c>
      <c r="B84" s="344"/>
      <c r="C84" s="344"/>
      <c r="D84" s="344"/>
      <c r="E84" s="344"/>
      <c r="F84" s="344"/>
      <c r="G84" s="344"/>
    </row>
    <row r="85" spans="1:7" x14ac:dyDescent="0.25">
      <c r="A85" s="344" t="s">
        <v>397</v>
      </c>
      <c r="B85" s="344"/>
      <c r="C85" s="344"/>
      <c r="D85" s="344"/>
      <c r="E85" s="344"/>
      <c r="F85" s="344"/>
      <c r="G85" s="344"/>
    </row>
    <row r="86" spans="1:7" x14ac:dyDescent="0.25">
      <c r="A86" s="344" t="s">
        <v>398</v>
      </c>
      <c r="B86" s="344"/>
      <c r="C86" s="344"/>
      <c r="D86" s="344"/>
      <c r="E86" s="344"/>
      <c r="F86" s="344"/>
      <c r="G86" s="344"/>
    </row>
    <row r="89" spans="1:7" x14ac:dyDescent="0.25">
      <c r="A89" s="343"/>
      <c r="B89" s="343"/>
      <c r="C89" s="343"/>
      <c r="D89" s="343"/>
      <c r="E89" s="343"/>
      <c r="F89" s="343"/>
      <c r="G89" s="343"/>
    </row>
  </sheetData>
  <mergeCells count="19">
    <mergeCell ref="A66:C66"/>
    <mergeCell ref="A67:C67"/>
    <mergeCell ref="A68:C68"/>
    <mergeCell ref="A82:G82"/>
    <mergeCell ref="A2:G2"/>
    <mergeCell ref="A3:G3"/>
    <mergeCell ref="A5:A6"/>
    <mergeCell ref="B5:B6"/>
    <mergeCell ref="C5:C6"/>
    <mergeCell ref="D5:D6"/>
    <mergeCell ref="E5:E6"/>
    <mergeCell ref="G5:G6"/>
    <mergeCell ref="E4:G4"/>
    <mergeCell ref="A4:C4"/>
    <mergeCell ref="A89:G89"/>
    <mergeCell ref="A83:G83"/>
    <mergeCell ref="A84:G84"/>
    <mergeCell ref="A85:G85"/>
    <mergeCell ref="A86:G86"/>
  </mergeCells>
  <pageMargins left="0.78740157480314965" right="0.78740157480314965" top="0.78740157480314965" bottom="0.78740157480314965" header="0" footer="0"/>
  <pageSetup paperSize="9" scale="60" orientation="portrait" verticalDpi="300" r:id="rId1"/>
  <colBreaks count="1" manualBreakCount="1">
    <brk id="7" max="1048575" man="1"/>
  </colBreak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9"/>
  <dimension ref="B2:H40"/>
  <sheetViews>
    <sheetView view="pageBreakPreview" zoomScaleNormal="100" zoomScaleSheetLayoutView="100" workbookViewId="0">
      <selection activeCell="E37" sqref="E37"/>
    </sheetView>
  </sheetViews>
  <sheetFormatPr defaultRowHeight="15" x14ac:dyDescent="0.25"/>
  <cols>
    <col min="2" max="2" width="12.85546875" bestFit="1" customWidth="1"/>
    <col min="3" max="3" width="44.85546875" customWidth="1"/>
    <col min="4" max="4" width="12.7109375" bestFit="1" customWidth="1"/>
    <col min="5" max="5" width="10.140625" bestFit="1" customWidth="1"/>
    <col min="6" max="6" width="10.28515625" bestFit="1" customWidth="1"/>
    <col min="7" max="7" width="15.5703125" bestFit="1" customWidth="1"/>
    <col min="8" max="8" width="0" hidden="1" customWidth="1"/>
  </cols>
  <sheetData>
    <row r="2" spans="2:7" ht="15.75" hidden="1" thickBot="1" x14ac:dyDescent="0.3"/>
    <row r="3" spans="2:7" ht="16.5" hidden="1" thickBot="1" x14ac:dyDescent="0.3">
      <c r="B3" s="383" t="s">
        <v>60</v>
      </c>
      <c r="C3" s="384"/>
      <c r="D3" s="384"/>
      <c r="E3" s="384"/>
      <c r="F3" s="384"/>
      <c r="G3" s="385"/>
    </row>
    <row r="4" spans="2:7" ht="60" hidden="1" customHeight="1" thickBot="1" x14ac:dyDescent="0.3">
      <c r="B4" s="380" t="s">
        <v>78</v>
      </c>
      <c r="C4" s="381"/>
      <c r="D4" s="381"/>
      <c r="E4" s="381"/>
      <c r="F4" s="381"/>
      <c r="G4" s="382"/>
    </row>
    <row r="5" spans="2:7" ht="15.75" hidden="1" thickBot="1" x14ac:dyDescent="0.3">
      <c r="B5" s="12" t="s">
        <v>34</v>
      </c>
      <c r="C5" s="13" t="s">
        <v>28</v>
      </c>
      <c r="D5" s="71" t="s">
        <v>29</v>
      </c>
      <c r="E5" s="71" t="s">
        <v>30</v>
      </c>
      <c r="F5" s="71" t="s">
        <v>31</v>
      </c>
      <c r="G5" s="72" t="s">
        <v>32</v>
      </c>
    </row>
    <row r="6" spans="2:7" hidden="1" x14ac:dyDescent="0.25">
      <c r="B6" s="10" t="s">
        <v>0</v>
      </c>
      <c r="C6" s="11" t="s">
        <v>88</v>
      </c>
      <c r="D6" s="70" t="s">
        <v>29</v>
      </c>
      <c r="E6" s="8">
        <v>1</v>
      </c>
      <c r="F6" s="8">
        <v>107.5</v>
      </c>
      <c r="G6" s="9">
        <v>107.5</v>
      </c>
    </row>
    <row r="7" spans="2:7" hidden="1" x14ac:dyDescent="0.25">
      <c r="B7" s="6" t="s">
        <v>83</v>
      </c>
      <c r="C7" s="5" t="s">
        <v>79</v>
      </c>
      <c r="D7" s="15" t="s">
        <v>87</v>
      </c>
      <c r="E7" s="1">
        <v>0.25</v>
      </c>
      <c r="F7" s="1">
        <v>4.05</v>
      </c>
      <c r="G7" s="9">
        <f>ROUND(E7*F7,2)</f>
        <v>1.01</v>
      </c>
    </row>
    <row r="8" spans="2:7" hidden="1" x14ac:dyDescent="0.25">
      <c r="B8" s="7" t="s">
        <v>84</v>
      </c>
      <c r="C8" s="5" t="s">
        <v>80</v>
      </c>
      <c r="D8" s="15" t="s">
        <v>87</v>
      </c>
      <c r="E8" s="1">
        <v>0.5</v>
      </c>
      <c r="F8" s="1">
        <v>4.05</v>
      </c>
      <c r="G8" s="9">
        <f>ROUND(E8*F8,2)</f>
        <v>2.0299999999999998</v>
      </c>
    </row>
    <row r="9" spans="2:7" hidden="1" x14ac:dyDescent="0.25">
      <c r="B9" s="6" t="s">
        <v>85</v>
      </c>
      <c r="C9" s="5" t="s">
        <v>81</v>
      </c>
      <c r="D9" s="15" t="s">
        <v>87</v>
      </c>
      <c r="E9" s="1">
        <v>0.5</v>
      </c>
      <c r="F9" s="1">
        <v>1.83</v>
      </c>
      <c r="G9" s="9">
        <f>ROUND(E9*F9,2)</f>
        <v>0.92</v>
      </c>
    </row>
    <row r="10" spans="2:7" ht="15.75" hidden="1" thickBot="1" x14ac:dyDescent="0.3">
      <c r="B10" s="6" t="s">
        <v>86</v>
      </c>
      <c r="C10" s="4" t="s">
        <v>82</v>
      </c>
      <c r="D10" s="15" t="s">
        <v>87</v>
      </c>
      <c r="E10" s="1">
        <v>0.25</v>
      </c>
      <c r="F10" s="1">
        <v>2.0099999999999998</v>
      </c>
      <c r="G10" s="9">
        <f>ROUND(E10*F10,2)</f>
        <v>0.5</v>
      </c>
    </row>
    <row r="11" spans="2:7" hidden="1" x14ac:dyDescent="0.25">
      <c r="B11" s="16" t="s">
        <v>41</v>
      </c>
      <c r="C11" s="24" t="s">
        <v>42</v>
      </c>
      <c r="D11" s="17" t="s">
        <v>43</v>
      </c>
      <c r="E11" s="17" t="s">
        <v>44</v>
      </c>
      <c r="F11" s="20" t="s">
        <v>45</v>
      </c>
      <c r="G11" s="22" t="s">
        <v>46</v>
      </c>
    </row>
    <row r="12" spans="2:7" ht="15.75" hidden="1" thickBot="1" x14ac:dyDescent="0.3">
      <c r="B12" s="18">
        <v>0</v>
      </c>
      <c r="C12" s="19">
        <f>G6</f>
        <v>107.5</v>
      </c>
      <c r="D12" s="19">
        <f>SUM(G7:G8)</f>
        <v>3.04</v>
      </c>
      <c r="E12" s="19">
        <f>SUM(G9:G10)</f>
        <v>1.42</v>
      </c>
      <c r="F12" s="21">
        <v>0</v>
      </c>
      <c r="G12" s="23">
        <f>SUM(G6:G10)</f>
        <v>111.96000000000001</v>
      </c>
    </row>
    <row r="13" spans="2:7" hidden="1" x14ac:dyDescent="0.25"/>
    <row r="14" spans="2:7" ht="15.75" hidden="1" thickBot="1" x14ac:dyDescent="0.3"/>
    <row r="15" spans="2:7" ht="16.5" hidden="1" thickBot="1" x14ac:dyDescent="0.3">
      <c r="B15" s="383" t="s">
        <v>60</v>
      </c>
      <c r="C15" s="384"/>
      <c r="D15" s="384"/>
      <c r="E15" s="384"/>
      <c r="F15" s="384"/>
      <c r="G15" s="385"/>
    </row>
    <row r="16" spans="2:7" ht="61.5" hidden="1" customHeight="1" thickBot="1" x14ac:dyDescent="0.3">
      <c r="B16" s="380" t="s">
        <v>89</v>
      </c>
      <c r="C16" s="381"/>
      <c r="D16" s="381"/>
      <c r="E16" s="381"/>
      <c r="F16" s="381"/>
      <c r="G16" s="382"/>
    </row>
    <row r="17" spans="2:7" ht="15.75" hidden="1" thickBot="1" x14ac:dyDescent="0.3">
      <c r="B17" s="12" t="s">
        <v>34</v>
      </c>
      <c r="C17" s="13" t="s">
        <v>28</v>
      </c>
      <c r="D17" s="71" t="s">
        <v>29</v>
      </c>
      <c r="E17" s="71" t="s">
        <v>30</v>
      </c>
      <c r="F17" s="71" t="s">
        <v>31</v>
      </c>
      <c r="G17" s="72" t="s">
        <v>32</v>
      </c>
    </row>
    <row r="18" spans="2:7" ht="15.75" hidden="1" customHeight="1" x14ac:dyDescent="0.25">
      <c r="B18" s="10" t="s">
        <v>0</v>
      </c>
      <c r="C18" s="11" t="s">
        <v>90</v>
      </c>
      <c r="D18" s="70" t="s">
        <v>29</v>
      </c>
      <c r="E18" s="8">
        <v>1</v>
      </c>
      <c r="F18" s="8">
        <v>107.5</v>
      </c>
      <c r="G18" s="9">
        <v>302.57</v>
      </c>
    </row>
    <row r="19" spans="2:7" hidden="1" x14ac:dyDescent="0.25">
      <c r="B19" s="6" t="s">
        <v>83</v>
      </c>
      <c r="C19" s="5" t="s">
        <v>79</v>
      </c>
      <c r="D19" s="15" t="s">
        <v>87</v>
      </c>
      <c r="E19" s="1">
        <v>0.25</v>
      </c>
      <c r="F19" s="1">
        <v>4.05</v>
      </c>
      <c r="G19" s="9">
        <f>ROUND(E19*F19,2)</f>
        <v>1.01</v>
      </c>
    </row>
    <row r="20" spans="2:7" hidden="1" x14ac:dyDescent="0.25">
      <c r="B20" s="7" t="s">
        <v>84</v>
      </c>
      <c r="C20" s="5" t="s">
        <v>80</v>
      </c>
      <c r="D20" s="15" t="s">
        <v>87</v>
      </c>
      <c r="E20" s="1">
        <v>0.5</v>
      </c>
      <c r="F20" s="1">
        <v>4.05</v>
      </c>
      <c r="G20" s="9">
        <f>ROUND(E20*F20,2)</f>
        <v>2.0299999999999998</v>
      </c>
    </row>
    <row r="21" spans="2:7" hidden="1" x14ac:dyDescent="0.25">
      <c r="B21" s="6" t="s">
        <v>85</v>
      </c>
      <c r="C21" s="5" t="s">
        <v>81</v>
      </c>
      <c r="D21" s="15" t="s">
        <v>87</v>
      </c>
      <c r="E21" s="1">
        <v>0.5</v>
      </c>
      <c r="F21" s="1">
        <v>1.83</v>
      </c>
      <c r="G21" s="9">
        <f>ROUND(E21*F21,2)</f>
        <v>0.92</v>
      </c>
    </row>
    <row r="22" spans="2:7" ht="15.75" hidden="1" thickBot="1" x14ac:dyDescent="0.3">
      <c r="B22" s="6" t="s">
        <v>86</v>
      </c>
      <c r="C22" s="4" t="s">
        <v>82</v>
      </c>
      <c r="D22" s="15" t="s">
        <v>87</v>
      </c>
      <c r="E22" s="1">
        <v>0.25</v>
      </c>
      <c r="F22" s="1">
        <v>2.0099999999999998</v>
      </c>
      <c r="G22" s="9">
        <f>ROUND(E22*F22,2)</f>
        <v>0.5</v>
      </c>
    </row>
    <row r="23" spans="2:7" hidden="1" x14ac:dyDescent="0.25">
      <c r="B23" s="16" t="s">
        <v>41</v>
      </c>
      <c r="C23" s="24" t="s">
        <v>42</v>
      </c>
      <c r="D23" s="17" t="s">
        <v>43</v>
      </c>
      <c r="E23" s="17" t="s">
        <v>44</v>
      </c>
      <c r="F23" s="20" t="s">
        <v>45</v>
      </c>
      <c r="G23" s="22" t="s">
        <v>46</v>
      </c>
    </row>
    <row r="24" spans="2:7" ht="15.75" hidden="1" thickBot="1" x14ac:dyDescent="0.3">
      <c r="B24" s="18">
        <v>0</v>
      </c>
      <c r="C24" s="19">
        <f>G18</f>
        <v>302.57</v>
      </c>
      <c r="D24" s="19">
        <f>SUM(G19:G20)</f>
        <v>3.04</v>
      </c>
      <c r="E24" s="19">
        <f>SUM(G21:G22)</f>
        <v>1.42</v>
      </c>
      <c r="F24" s="21">
        <v>0</v>
      </c>
      <c r="G24" s="23">
        <f>SUM(G18:G22)</f>
        <v>307.02999999999997</v>
      </c>
    </row>
    <row r="25" spans="2:7" hidden="1" x14ac:dyDescent="0.25"/>
    <row r="26" spans="2:7" hidden="1" x14ac:dyDescent="0.25"/>
    <row r="30" spans="2:7" ht="15.75" thickBot="1" x14ac:dyDescent="0.3"/>
    <row r="31" spans="2:7" ht="16.5" thickBot="1" x14ac:dyDescent="0.3">
      <c r="B31" s="383" t="s">
        <v>60</v>
      </c>
      <c r="C31" s="384"/>
      <c r="D31" s="384"/>
      <c r="E31" s="384"/>
      <c r="F31" s="384"/>
      <c r="G31" s="385"/>
    </row>
    <row r="32" spans="2:7" ht="65.25" customHeight="1" thickBot="1" x14ac:dyDescent="0.3">
      <c r="B32" s="380" t="s">
        <v>157</v>
      </c>
      <c r="C32" s="381"/>
      <c r="D32" s="381"/>
      <c r="E32" s="381"/>
      <c r="F32" s="381"/>
      <c r="G32" s="382"/>
    </row>
    <row r="33" spans="2:8" ht="15.75" thickBot="1" x14ac:dyDescent="0.3">
      <c r="B33" s="12" t="s">
        <v>34</v>
      </c>
      <c r="C33" s="13" t="s">
        <v>28</v>
      </c>
      <c r="D33" s="71" t="s">
        <v>29</v>
      </c>
      <c r="E33" s="71" t="s">
        <v>30</v>
      </c>
      <c r="F33" s="71" t="s">
        <v>31</v>
      </c>
      <c r="G33" s="72" t="s">
        <v>32</v>
      </c>
    </row>
    <row r="34" spans="2:8" x14ac:dyDescent="0.25">
      <c r="B34" s="10" t="s">
        <v>190</v>
      </c>
      <c r="C34" s="11" t="s">
        <v>209</v>
      </c>
      <c r="D34" s="70" t="s">
        <v>26</v>
      </c>
      <c r="E34" s="61">
        <v>1</v>
      </c>
      <c r="F34" s="85">
        <v>0.7</v>
      </c>
      <c r="G34" s="86">
        <f>E34*F34</f>
        <v>0.7</v>
      </c>
      <c r="H34" s="8">
        <v>1.82</v>
      </c>
    </row>
    <row r="35" spans="2:8" x14ac:dyDescent="0.25">
      <c r="B35" s="6" t="s">
        <v>196</v>
      </c>
      <c r="C35" s="5" t="s">
        <v>210</v>
      </c>
      <c r="D35" s="15" t="s">
        <v>29</v>
      </c>
      <c r="E35" s="1">
        <v>1</v>
      </c>
      <c r="F35" s="85">
        <f>H35*0.97</f>
        <v>0.24249999999999999</v>
      </c>
      <c r="G35" s="29">
        <f>ROUND(E35*F35,2)</f>
        <v>0.24</v>
      </c>
      <c r="H35" s="1">
        <v>0.25</v>
      </c>
    </row>
    <row r="36" spans="2:8" x14ac:dyDescent="0.25">
      <c r="B36" s="7" t="s">
        <v>196</v>
      </c>
      <c r="C36" s="5" t="s">
        <v>211</v>
      </c>
      <c r="D36" s="15" t="s">
        <v>87</v>
      </c>
      <c r="E36" s="2">
        <v>0.6</v>
      </c>
      <c r="F36" s="85">
        <f>H36*0.97</f>
        <v>7.6435999999999993</v>
      </c>
      <c r="G36" s="86">
        <f>ROUND(E36*F36,2)</f>
        <v>4.59</v>
      </c>
      <c r="H36" s="1">
        <v>7.88</v>
      </c>
    </row>
    <row r="37" spans="2:8" x14ac:dyDescent="0.25">
      <c r="B37" s="93" t="s">
        <v>191</v>
      </c>
      <c r="C37" s="5" t="s">
        <v>193</v>
      </c>
      <c r="D37" s="15" t="s">
        <v>87</v>
      </c>
      <c r="E37" s="1">
        <v>0.15</v>
      </c>
      <c r="F37" s="61">
        <v>5.0599999999999996</v>
      </c>
      <c r="G37" s="9">
        <f>ROUND(E37*F37,2)</f>
        <v>0.76</v>
      </c>
      <c r="H37" s="1">
        <v>1.83</v>
      </c>
    </row>
    <row r="38" spans="2:8" ht="15.75" thickBot="1" x14ac:dyDescent="0.3">
      <c r="B38" s="92" t="s">
        <v>192</v>
      </c>
      <c r="C38" s="5" t="s">
        <v>194</v>
      </c>
      <c r="D38" s="15" t="s">
        <v>87</v>
      </c>
      <c r="E38" s="1">
        <v>0.48</v>
      </c>
      <c r="F38" s="61">
        <v>3.41</v>
      </c>
      <c r="G38" s="9">
        <f>ROUND(E38*F38,2)</f>
        <v>1.64</v>
      </c>
      <c r="H38" s="1">
        <v>1.78</v>
      </c>
    </row>
    <row r="39" spans="2:8" x14ac:dyDescent="0.25">
      <c r="B39" s="16" t="s">
        <v>41</v>
      </c>
      <c r="C39" s="24" t="s">
        <v>42</v>
      </c>
      <c r="D39" s="17" t="s">
        <v>43</v>
      </c>
      <c r="E39" s="17" t="s">
        <v>44</v>
      </c>
      <c r="F39" s="20" t="s">
        <v>45</v>
      </c>
      <c r="G39" s="22" t="s">
        <v>46</v>
      </c>
    </row>
    <row r="40" spans="2:8" ht="15.75" thickBot="1" x14ac:dyDescent="0.3">
      <c r="B40" s="18">
        <v>0</v>
      </c>
      <c r="C40" s="94">
        <f>G34+G35</f>
        <v>0.94</v>
      </c>
      <c r="D40" s="94">
        <f>G36+G37+G38</f>
        <v>6.9899999999999993</v>
      </c>
      <c r="E40" s="94">
        <f>D40*0.7431</f>
        <v>5.1942689999999994</v>
      </c>
      <c r="F40" s="21">
        <v>0</v>
      </c>
      <c r="G40" s="87">
        <f>SUM(G34:G38)+0.01</f>
        <v>7.9399999999999986</v>
      </c>
    </row>
  </sheetData>
  <mergeCells count="6">
    <mergeCell ref="B32:G32"/>
    <mergeCell ref="B3:G3"/>
    <mergeCell ref="B4:G4"/>
    <mergeCell ref="B15:G15"/>
    <mergeCell ref="B16:G16"/>
    <mergeCell ref="B31:G31"/>
  </mergeCells>
  <pageMargins left="1.1811023622047245" right="0.78740157480314965" top="0.78740157480314965" bottom="0.78740157480314965" header="0" footer="0"/>
  <pageSetup paperSize="9" scale="75" orientation="portrait" verticalDpi="3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0"/>
  <dimension ref="B2:H40"/>
  <sheetViews>
    <sheetView view="pageBreakPreview" topLeftCell="A27" zoomScaleNormal="100" zoomScaleSheetLayoutView="100" workbookViewId="0">
      <selection activeCell="F35" sqref="F35"/>
    </sheetView>
  </sheetViews>
  <sheetFormatPr defaultRowHeight="15" x14ac:dyDescent="0.25"/>
  <cols>
    <col min="2" max="2" width="12.85546875" bestFit="1" customWidth="1"/>
    <col min="3" max="3" width="44.85546875" customWidth="1"/>
    <col min="4" max="4" width="12.7109375" bestFit="1" customWidth="1"/>
    <col min="5" max="5" width="10.140625" bestFit="1" customWidth="1"/>
    <col min="6" max="6" width="10.28515625" bestFit="1" customWidth="1"/>
    <col min="7" max="7" width="15.5703125" bestFit="1" customWidth="1"/>
    <col min="8" max="8" width="0" hidden="1" customWidth="1"/>
  </cols>
  <sheetData>
    <row r="2" spans="2:7" ht="15.75" hidden="1" thickBot="1" x14ac:dyDescent="0.3"/>
    <row r="3" spans="2:7" ht="16.5" hidden="1" thickBot="1" x14ac:dyDescent="0.3">
      <c r="B3" s="383" t="s">
        <v>60</v>
      </c>
      <c r="C3" s="384"/>
      <c r="D3" s="384"/>
      <c r="E3" s="384"/>
      <c r="F3" s="384"/>
      <c r="G3" s="385"/>
    </row>
    <row r="4" spans="2:7" ht="60" hidden="1" customHeight="1" thickBot="1" x14ac:dyDescent="0.3">
      <c r="B4" s="380" t="s">
        <v>78</v>
      </c>
      <c r="C4" s="381"/>
      <c r="D4" s="381"/>
      <c r="E4" s="381"/>
      <c r="F4" s="381"/>
      <c r="G4" s="382"/>
    </row>
    <row r="5" spans="2:7" ht="15.75" hidden="1" thickBot="1" x14ac:dyDescent="0.3">
      <c r="B5" s="12" t="s">
        <v>34</v>
      </c>
      <c r="C5" s="13" t="s">
        <v>28</v>
      </c>
      <c r="D5" s="71" t="s">
        <v>29</v>
      </c>
      <c r="E5" s="71" t="s">
        <v>30</v>
      </c>
      <c r="F5" s="71" t="s">
        <v>31</v>
      </c>
      <c r="G5" s="72" t="s">
        <v>32</v>
      </c>
    </row>
    <row r="6" spans="2:7" hidden="1" x14ac:dyDescent="0.25">
      <c r="B6" s="10" t="s">
        <v>0</v>
      </c>
      <c r="C6" s="11" t="s">
        <v>88</v>
      </c>
      <c r="D6" s="70" t="s">
        <v>29</v>
      </c>
      <c r="E6" s="8">
        <v>1</v>
      </c>
      <c r="F6" s="8">
        <v>107.5</v>
      </c>
      <c r="G6" s="9">
        <v>107.5</v>
      </c>
    </row>
    <row r="7" spans="2:7" hidden="1" x14ac:dyDescent="0.25">
      <c r="B7" s="6" t="s">
        <v>83</v>
      </c>
      <c r="C7" s="5" t="s">
        <v>79</v>
      </c>
      <c r="D7" s="15" t="s">
        <v>87</v>
      </c>
      <c r="E7" s="1">
        <v>0.25</v>
      </c>
      <c r="F7" s="1">
        <v>4.05</v>
      </c>
      <c r="G7" s="9">
        <f>ROUND(E7*F7,2)</f>
        <v>1.01</v>
      </c>
    </row>
    <row r="8" spans="2:7" hidden="1" x14ac:dyDescent="0.25">
      <c r="B8" s="7" t="s">
        <v>84</v>
      </c>
      <c r="C8" s="5" t="s">
        <v>80</v>
      </c>
      <c r="D8" s="15" t="s">
        <v>87</v>
      </c>
      <c r="E8" s="1">
        <v>0.5</v>
      </c>
      <c r="F8" s="1">
        <v>4.05</v>
      </c>
      <c r="G8" s="9">
        <f>ROUND(E8*F8,2)</f>
        <v>2.0299999999999998</v>
      </c>
    </row>
    <row r="9" spans="2:7" hidden="1" x14ac:dyDescent="0.25">
      <c r="B9" s="6" t="s">
        <v>85</v>
      </c>
      <c r="C9" s="5" t="s">
        <v>81</v>
      </c>
      <c r="D9" s="15" t="s">
        <v>87</v>
      </c>
      <c r="E9" s="1">
        <v>0.5</v>
      </c>
      <c r="F9" s="1">
        <v>1.83</v>
      </c>
      <c r="G9" s="9">
        <f>ROUND(E9*F9,2)</f>
        <v>0.92</v>
      </c>
    </row>
    <row r="10" spans="2:7" ht="15.75" hidden="1" thickBot="1" x14ac:dyDescent="0.3">
      <c r="B10" s="6" t="s">
        <v>86</v>
      </c>
      <c r="C10" s="4" t="s">
        <v>82</v>
      </c>
      <c r="D10" s="15" t="s">
        <v>87</v>
      </c>
      <c r="E10" s="1">
        <v>0.25</v>
      </c>
      <c r="F10" s="1">
        <v>2.0099999999999998</v>
      </c>
      <c r="G10" s="9">
        <f>ROUND(E10*F10,2)</f>
        <v>0.5</v>
      </c>
    </row>
    <row r="11" spans="2:7" hidden="1" x14ac:dyDescent="0.25">
      <c r="B11" s="16" t="s">
        <v>41</v>
      </c>
      <c r="C11" s="24" t="s">
        <v>42</v>
      </c>
      <c r="D11" s="17" t="s">
        <v>43</v>
      </c>
      <c r="E11" s="17" t="s">
        <v>44</v>
      </c>
      <c r="F11" s="20" t="s">
        <v>45</v>
      </c>
      <c r="G11" s="22" t="s">
        <v>46</v>
      </c>
    </row>
    <row r="12" spans="2:7" ht="15.75" hidden="1" thickBot="1" x14ac:dyDescent="0.3">
      <c r="B12" s="18">
        <v>0</v>
      </c>
      <c r="C12" s="19">
        <f>G6</f>
        <v>107.5</v>
      </c>
      <c r="D12" s="19">
        <f>SUM(G7:G8)</f>
        <v>3.04</v>
      </c>
      <c r="E12" s="19">
        <f>SUM(G9:G10)</f>
        <v>1.42</v>
      </c>
      <c r="F12" s="21">
        <v>0</v>
      </c>
      <c r="G12" s="23">
        <f>SUM(G6:G10)</f>
        <v>111.96000000000001</v>
      </c>
    </row>
    <row r="13" spans="2:7" hidden="1" x14ac:dyDescent="0.25"/>
    <row r="14" spans="2:7" ht="15.75" hidden="1" thickBot="1" x14ac:dyDescent="0.3"/>
    <row r="15" spans="2:7" ht="16.5" hidden="1" thickBot="1" x14ac:dyDescent="0.3">
      <c r="B15" s="383" t="s">
        <v>60</v>
      </c>
      <c r="C15" s="384"/>
      <c r="D15" s="384"/>
      <c r="E15" s="384"/>
      <c r="F15" s="384"/>
      <c r="G15" s="385"/>
    </row>
    <row r="16" spans="2:7" ht="61.5" hidden="1" customHeight="1" thickBot="1" x14ac:dyDescent="0.3">
      <c r="B16" s="380" t="s">
        <v>89</v>
      </c>
      <c r="C16" s="381"/>
      <c r="D16" s="381"/>
      <c r="E16" s="381"/>
      <c r="F16" s="381"/>
      <c r="G16" s="382"/>
    </row>
    <row r="17" spans="2:7" ht="15.75" hidden="1" thickBot="1" x14ac:dyDescent="0.3">
      <c r="B17" s="12" t="s">
        <v>34</v>
      </c>
      <c r="C17" s="13" t="s">
        <v>28</v>
      </c>
      <c r="D17" s="71" t="s">
        <v>29</v>
      </c>
      <c r="E17" s="71" t="s">
        <v>30</v>
      </c>
      <c r="F17" s="71" t="s">
        <v>31</v>
      </c>
      <c r="G17" s="72" t="s">
        <v>32</v>
      </c>
    </row>
    <row r="18" spans="2:7" ht="15.75" hidden="1" customHeight="1" x14ac:dyDescent="0.25">
      <c r="B18" s="10" t="s">
        <v>0</v>
      </c>
      <c r="C18" s="11" t="s">
        <v>90</v>
      </c>
      <c r="D18" s="70" t="s">
        <v>29</v>
      </c>
      <c r="E18" s="8">
        <v>1</v>
      </c>
      <c r="F18" s="8">
        <v>107.5</v>
      </c>
      <c r="G18" s="9">
        <v>302.57</v>
      </c>
    </row>
    <row r="19" spans="2:7" hidden="1" x14ac:dyDescent="0.25">
      <c r="B19" s="6" t="s">
        <v>83</v>
      </c>
      <c r="C19" s="5" t="s">
        <v>79</v>
      </c>
      <c r="D19" s="15" t="s">
        <v>87</v>
      </c>
      <c r="E19" s="1">
        <v>0.25</v>
      </c>
      <c r="F19" s="1">
        <v>4.05</v>
      </c>
      <c r="G19" s="9">
        <f>ROUND(E19*F19,2)</f>
        <v>1.01</v>
      </c>
    </row>
    <row r="20" spans="2:7" hidden="1" x14ac:dyDescent="0.25">
      <c r="B20" s="7" t="s">
        <v>84</v>
      </c>
      <c r="C20" s="5" t="s">
        <v>80</v>
      </c>
      <c r="D20" s="15" t="s">
        <v>87</v>
      </c>
      <c r="E20" s="1">
        <v>0.5</v>
      </c>
      <c r="F20" s="1">
        <v>4.05</v>
      </c>
      <c r="G20" s="9">
        <f>ROUND(E20*F20,2)</f>
        <v>2.0299999999999998</v>
      </c>
    </row>
    <row r="21" spans="2:7" hidden="1" x14ac:dyDescent="0.25">
      <c r="B21" s="6" t="s">
        <v>85</v>
      </c>
      <c r="C21" s="5" t="s">
        <v>81</v>
      </c>
      <c r="D21" s="15" t="s">
        <v>87</v>
      </c>
      <c r="E21" s="1">
        <v>0.5</v>
      </c>
      <c r="F21" s="1">
        <v>1.83</v>
      </c>
      <c r="G21" s="9">
        <f>ROUND(E21*F21,2)</f>
        <v>0.92</v>
      </c>
    </row>
    <row r="22" spans="2:7" ht="15.75" hidden="1" thickBot="1" x14ac:dyDescent="0.3">
      <c r="B22" s="6" t="s">
        <v>86</v>
      </c>
      <c r="C22" s="4" t="s">
        <v>82</v>
      </c>
      <c r="D22" s="15" t="s">
        <v>87</v>
      </c>
      <c r="E22" s="1">
        <v>0.25</v>
      </c>
      <c r="F22" s="1">
        <v>2.0099999999999998</v>
      </c>
      <c r="G22" s="9">
        <f>ROUND(E22*F22,2)</f>
        <v>0.5</v>
      </c>
    </row>
    <row r="23" spans="2:7" hidden="1" x14ac:dyDescent="0.25">
      <c r="B23" s="16" t="s">
        <v>41</v>
      </c>
      <c r="C23" s="24" t="s">
        <v>42</v>
      </c>
      <c r="D23" s="17" t="s">
        <v>43</v>
      </c>
      <c r="E23" s="17" t="s">
        <v>44</v>
      </c>
      <c r="F23" s="20" t="s">
        <v>45</v>
      </c>
      <c r="G23" s="22" t="s">
        <v>46</v>
      </c>
    </row>
    <row r="24" spans="2:7" ht="15.75" hidden="1" thickBot="1" x14ac:dyDescent="0.3">
      <c r="B24" s="18">
        <v>0</v>
      </c>
      <c r="C24" s="19">
        <f>G18</f>
        <v>302.57</v>
      </c>
      <c r="D24" s="19">
        <f>SUM(G19:G20)</f>
        <v>3.04</v>
      </c>
      <c r="E24" s="19">
        <f>SUM(G21:G22)</f>
        <v>1.42</v>
      </c>
      <c r="F24" s="21">
        <v>0</v>
      </c>
      <c r="G24" s="23">
        <f>SUM(G18:G22)</f>
        <v>307.02999999999997</v>
      </c>
    </row>
    <row r="25" spans="2:7" hidden="1" x14ac:dyDescent="0.25"/>
    <row r="26" spans="2:7" hidden="1" x14ac:dyDescent="0.25"/>
    <row r="30" spans="2:7" ht="15.75" thickBot="1" x14ac:dyDescent="0.3"/>
    <row r="31" spans="2:7" ht="16.5" thickBot="1" x14ac:dyDescent="0.3">
      <c r="B31" s="383" t="s">
        <v>60</v>
      </c>
      <c r="C31" s="384"/>
      <c r="D31" s="384"/>
      <c r="E31" s="384"/>
      <c r="F31" s="384"/>
      <c r="G31" s="385"/>
    </row>
    <row r="32" spans="2:7" ht="65.25" customHeight="1" thickBot="1" x14ac:dyDescent="0.3">
      <c r="B32" s="380" t="s">
        <v>158</v>
      </c>
      <c r="C32" s="381"/>
      <c r="D32" s="381"/>
      <c r="E32" s="381"/>
      <c r="F32" s="381"/>
      <c r="G32" s="382"/>
    </row>
    <row r="33" spans="2:8" ht="15.75" thickBot="1" x14ac:dyDescent="0.3">
      <c r="B33" s="12" t="s">
        <v>34</v>
      </c>
      <c r="C33" s="13" t="s">
        <v>28</v>
      </c>
      <c r="D33" s="71" t="s">
        <v>29</v>
      </c>
      <c r="E33" s="71" t="s">
        <v>30</v>
      </c>
      <c r="F33" s="71" t="s">
        <v>31</v>
      </c>
      <c r="G33" s="72" t="s">
        <v>32</v>
      </c>
    </row>
    <row r="34" spans="2:8" x14ac:dyDescent="0.25">
      <c r="B34" s="10" t="s">
        <v>190</v>
      </c>
      <c r="C34" s="11" t="s">
        <v>212</v>
      </c>
      <c r="D34" s="70" t="s">
        <v>26</v>
      </c>
      <c r="E34" s="61">
        <v>1</v>
      </c>
      <c r="F34" s="85">
        <v>2.04</v>
      </c>
      <c r="G34" s="86">
        <f>E34*F34</f>
        <v>2.04</v>
      </c>
      <c r="H34" s="8">
        <v>1.82</v>
      </c>
    </row>
    <row r="35" spans="2:8" x14ac:dyDescent="0.25">
      <c r="B35" s="6" t="s">
        <v>196</v>
      </c>
      <c r="C35" s="5" t="s">
        <v>213</v>
      </c>
      <c r="D35" s="15" t="s">
        <v>29</v>
      </c>
      <c r="E35" s="1">
        <v>1.05</v>
      </c>
      <c r="F35" s="85">
        <f>H35*0.97</f>
        <v>0.24249999999999999</v>
      </c>
      <c r="G35" s="29">
        <f>ROUND(E35*F35,2)</f>
        <v>0.25</v>
      </c>
      <c r="H35" s="1">
        <v>0.25</v>
      </c>
    </row>
    <row r="36" spans="2:8" x14ac:dyDescent="0.25">
      <c r="B36" s="7" t="s">
        <v>214</v>
      </c>
      <c r="C36" s="5" t="s">
        <v>211</v>
      </c>
      <c r="D36" s="15" t="s">
        <v>87</v>
      </c>
      <c r="E36" s="2">
        <v>0.6</v>
      </c>
      <c r="F36" s="85">
        <f>H36*0.97</f>
        <v>7.6435999999999993</v>
      </c>
      <c r="G36" s="86">
        <f>ROUND(E36*F36,2)</f>
        <v>4.59</v>
      </c>
      <c r="H36" s="1">
        <v>7.88</v>
      </c>
    </row>
    <row r="37" spans="2:8" x14ac:dyDescent="0.25">
      <c r="B37" s="93" t="s">
        <v>191</v>
      </c>
      <c r="C37" s="5" t="s">
        <v>193</v>
      </c>
      <c r="D37" s="15" t="s">
        <v>87</v>
      </c>
      <c r="E37" s="1">
        <v>0.15</v>
      </c>
      <c r="F37" s="61">
        <v>5.0599999999999996</v>
      </c>
      <c r="G37" s="9">
        <f>ROUND(E37*F37,2)</f>
        <v>0.76</v>
      </c>
      <c r="H37" s="1">
        <v>1.83</v>
      </c>
    </row>
    <row r="38" spans="2:8" ht="15.75" thickBot="1" x14ac:dyDescent="0.3">
      <c r="B38" s="92" t="s">
        <v>192</v>
      </c>
      <c r="C38" s="5" t="s">
        <v>194</v>
      </c>
      <c r="D38" s="15" t="s">
        <v>87</v>
      </c>
      <c r="E38" s="1">
        <v>0.5</v>
      </c>
      <c r="F38" s="61">
        <v>3.41</v>
      </c>
      <c r="G38" s="9">
        <f>ROUND(E38*F38,2)</f>
        <v>1.71</v>
      </c>
      <c r="H38" s="1">
        <v>1.78</v>
      </c>
    </row>
    <row r="39" spans="2:8" x14ac:dyDescent="0.25">
      <c r="B39" s="16" t="s">
        <v>41</v>
      </c>
      <c r="C39" s="24" t="s">
        <v>42</v>
      </c>
      <c r="D39" s="17" t="s">
        <v>43</v>
      </c>
      <c r="E39" s="17" t="s">
        <v>44</v>
      </c>
      <c r="F39" s="20" t="s">
        <v>45</v>
      </c>
      <c r="G39" s="22" t="s">
        <v>46</v>
      </c>
    </row>
    <row r="40" spans="2:8" ht="15.75" thickBot="1" x14ac:dyDescent="0.3">
      <c r="B40" s="18">
        <v>0</v>
      </c>
      <c r="C40" s="94">
        <f>G34+G35</f>
        <v>2.29</v>
      </c>
      <c r="D40" s="94">
        <f>G36+G37+G38</f>
        <v>7.06</v>
      </c>
      <c r="E40" s="94">
        <f>D40*0.7431</f>
        <v>5.2462859999999996</v>
      </c>
      <c r="F40" s="21">
        <v>0</v>
      </c>
      <c r="G40" s="87">
        <f>SUM(G34:G38)+0.01</f>
        <v>9.36</v>
      </c>
    </row>
  </sheetData>
  <mergeCells count="6">
    <mergeCell ref="B32:G32"/>
    <mergeCell ref="B3:G3"/>
    <mergeCell ref="B4:G4"/>
    <mergeCell ref="B15:G15"/>
    <mergeCell ref="B16:G16"/>
    <mergeCell ref="B31:G31"/>
  </mergeCells>
  <pageMargins left="1.1811023622047245" right="0.78740157480314965" top="0.78740157480314965" bottom="0.78740157480314965" header="0" footer="0"/>
  <pageSetup paperSize="9" scale="75" orientation="portrait" verticalDpi="3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1"/>
  <dimension ref="B2:H41"/>
  <sheetViews>
    <sheetView view="pageBreakPreview" topLeftCell="A28" zoomScaleNormal="100" zoomScaleSheetLayoutView="100" workbookViewId="0">
      <selection activeCell="F37" sqref="F37"/>
    </sheetView>
  </sheetViews>
  <sheetFormatPr defaultRowHeight="15" x14ac:dyDescent="0.25"/>
  <cols>
    <col min="2" max="2" width="12.85546875" bestFit="1" customWidth="1"/>
    <col min="3" max="3" width="44.85546875" customWidth="1"/>
    <col min="4" max="4" width="12.7109375" bestFit="1" customWidth="1"/>
    <col min="5" max="5" width="10.140625" bestFit="1" customWidth="1"/>
    <col min="6" max="6" width="10.28515625" bestFit="1" customWidth="1"/>
    <col min="7" max="7" width="15.5703125" bestFit="1" customWidth="1"/>
    <col min="8" max="8" width="0" hidden="1" customWidth="1"/>
  </cols>
  <sheetData>
    <row r="2" spans="2:7" ht="15.75" hidden="1" thickBot="1" x14ac:dyDescent="0.3"/>
    <row r="3" spans="2:7" ht="16.5" hidden="1" thickBot="1" x14ac:dyDescent="0.3">
      <c r="B3" s="383" t="s">
        <v>60</v>
      </c>
      <c r="C3" s="384"/>
      <c r="D3" s="384"/>
      <c r="E3" s="384"/>
      <c r="F3" s="384"/>
      <c r="G3" s="385"/>
    </row>
    <row r="4" spans="2:7" ht="60" hidden="1" customHeight="1" thickBot="1" x14ac:dyDescent="0.3">
      <c r="B4" s="380" t="s">
        <v>78</v>
      </c>
      <c r="C4" s="381"/>
      <c r="D4" s="381"/>
      <c r="E4" s="381"/>
      <c r="F4" s="381"/>
      <c r="G4" s="382"/>
    </row>
    <row r="5" spans="2:7" ht="15.75" hidden="1" thickBot="1" x14ac:dyDescent="0.3">
      <c r="B5" s="12" t="s">
        <v>34</v>
      </c>
      <c r="C5" s="13" t="s">
        <v>28</v>
      </c>
      <c r="D5" s="71" t="s">
        <v>29</v>
      </c>
      <c r="E5" s="71" t="s">
        <v>30</v>
      </c>
      <c r="F5" s="71" t="s">
        <v>31</v>
      </c>
      <c r="G5" s="72" t="s">
        <v>32</v>
      </c>
    </row>
    <row r="6" spans="2:7" hidden="1" x14ac:dyDescent="0.25">
      <c r="B6" s="10" t="s">
        <v>0</v>
      </c>
      <c r="C6" s="11" t="s">
        <v>88</v>
      </c>
      <c r="D6" s="70" t="s">
        <v>29</v>
      </c>
      <c r="E6" s="8">
        <v>1</v>
      </c>
      <c r="F6" s="8">
        <v>107.5</v>
      </c>
      <c r="G6" s="9">
        <v>107.5</v>
      </c>
    </row>
    <row r="7" spans="2:7" hidden="1" x14ac:dyDescent="0.25">
      <c r="B7" s="6" t="s">
        <v>83</v>
      </c>
      <c r="C7" s="5" t="s">
        <v>79</v>
      </c>
      <c r="D7" s="15" t="s">
        <v>87</v>
      </c>
      <c r="E7" s="1">
        <v>0.25</v>
      </c>
      <c r="F7" s="1">
        <v>4.05</v>
      </c>
      <c r="G7" s="9">
        <f>ROUND(E7*F7,2)</f>
        <v>1.01</v>
      </c>
    </row>
    <row r="8" spans="2:7" hidden="1" x14ac:dyDescent="0.25">
      <c r="B8" s="7" t="s">
        <v>84</v>
      </c>
      <c r="C8" s="5" t="s">
        <v>80</v>
      </c>
      <c r="D8" s="15" t="s">
        <v>87</v>
      </c>
      <c r="E8" s="1">
        <v>0.5</v>
      </c>
      <c r="F8" s="1">
        <v>4.05</v>
      </c>
      <c r="G8" s="9">
        <f>ROUND(E8*F8,2)</f>
        <v>2.0299999999999998</v>
      </c>
    </row>
    <row r="9" spans="2:7" hidden="1" x14ac:dyDescent="0.25">
      <c r="B9" s="6" t="s">
        <v>85</v>
      </c>
      <c r="C9" s="5" t="s">
        <v>81</v>
      </c>
      <c r="D9" s="15" t="s">
        <v>87</v>
      </c>
      <c r="E9" s="1">
        <v>0.5</v>
      </c>
      <c r="F9" s="1">
        <v>1.83</v>
      </c>
      <c r="G9" s="9">
        <f>ROUND(E9*F9,2)</f>
        <v>0.92</v>
      </c>
    </row>
    <row r="10" spans="2:7" ht="15.75" hidden="1" thickBot="1" x14ac:dyDescent="0.3">
      <c r="B10" s="6" t="s">
        <v>86</v>
      </c>
      <c r="C10" s="4" t="s">
        <v>82</v>
      </c>
      <c r="D10" s="15" t="s">
        <v>87</v>
      </c>
      <c r="E10" s="1">
        <v>0.25</v>
      </c>
      <c r="F10" s="1">
        <v>2.0099999999999998</v>
      </c>
      <c r="G10" s="9">
        <f>ROUND(E10*F10,2)</f>
        <v>0.5</v>
      </c>
    </row>
    <row r="11" spans="2:7" hidden="1" x14ac:dyDescent="0.25">
      <c r="B11" s="16" t="s">
        <v>41</v>
      </c>
      <c r="C11" s="24" t="s">
        <v>42</v>
      </c>
      <c r="D11" s="17" t="s">
        <v>43</v>
      </c>
      <c r="E11" s="17" t="s">
        <v>44</v>
      </c>
      <c r="F11" s="20" t="s">
        <v>45</v>
      </c>
      <c r="G11" s="22" t="s">
        <v>46</v>
      </c>
    </row>
    <row r="12" spans="2:7" ht="15.75" hidden="1" thickBot="1" x14ac:dyDescent="0.3">
      <c r="B12" s="18">
        <v>0</v>
      </c>
      <c r="C12" s="19">
        <f>G6</f>
        <v>107.5</v>
      </c>
      <c r="D12" s="19">
        <f>SUM(G7:G8)</f>
        <v>3.04</v>
      </c>
      <c r="E12" s="19">
        <f>SUM(G9:G10)</f>
        <v>1.42</v>
      </c>
      <c r="F12" s="21">
        <v>0</v>
      </c>
      <c r="G12" s="23">
        <f>SUM(G6:G10)</f>
        <v>111.96000000000001</v>
      </c>
    </row>
    <row r="13" spans="2:7" hidden="1" x14ac:dyDescent="0.25"/>
    <row r="14" spans="2:7" ht="15.75" hidden="1" thickBot="1" x14ac:dyDescent="0.3"/>
    <row r="15" spans="2:7" ht="16.5" hidden="1" thickBot="1" x14ac:dyDescent="0.3">
      <c r="B15" s="383" t="s">
        <v>60</v>
      </c>
      <c r="C15" s="384"/>
      <c r="D15" s="384"/>
      <c r="E15" s="384"/>
      <c r="F15" s="384"/>
      <c r="G15" s="385"/>
    </row>
    <row r="16" spans="2:7" ht="61.5" hidden="1" customHeight="1" thickBot="1" x14ac:dyDescent="0.3">
      <c r="B16" s="380" t="s">
        <v>89</v>
      </c>
      <c r="C16" s="381"/>
      <c r="D16" s="381"/>
      <c r="E16" s="381"/>
      <c r="F16" s="381"/>
      <c r="G16" s="382"/>
    </row>
    <row r="17" spans="2:7" ht="15.75" hidden="1" thickBot="1" x14ac:dyDescent="0.3">
      <c r="B17" s="12" t="s">
        <v>34</v>
      </c>
      <c r="C17" s="13" t="s">
        <v>28</v>
      </c>
      <c r="D17" s="71" t="s">
        <v>29</v>
      </c>
      <c r="E17" s="71" t="s">
        <v>30</v>
      </c>
      <c r="F17" s="71" t="s">
        <v>31</v>
      </c>
      <c r="G17" s="72" t="s">
        <v>32</v>
      </c>
    </row>
    <row r="18" spans="2:7" ht="15.75" hidden="1" customHeight="1" x14ac:dyDescent="0.25">
      <c r="B18" s="10" t="s">
        <v>0</v>
      </c>
      <c r="C18" s="11" t="s">
        <v>90</v>
      </c>
      <c r="D18" s="70" t="s">
        <v>29</v>
      </c>
      <c r="E18" s="8">
        <v>1</v>
      </c>
      <c r="F18" s="8">
        <v>107.5</v>
      </c>
      <c r="G18" s="9">
        <v>302.57</v>
      </c>
    </row>
    <row r="19" spans="2:7" hidden="1" x14ac:dyDescent="0.25">
      <c r="B19" s="6" t="s">
        <v>83</v>
      </c>
      <c r="C19" s="5" t="s">
        <v>79</v>
      </c>
      <c r="D19" s="15" t="s">
        <v>87</v>
      </c>
      <c r="E19" s="1">
        <v>0.25</v>
      </c>
      <c r="F19" s="1">
        <v>4.05</v>
      </c>
      <c r="G19" s="9">
        <f>ROUND(E19*F19,2)</f>
        <v>1.01</v>
      </c>
    </row>
    <row r="20" spans="2:7" hidden="1" x14ac:dyDescent="0.25">
      <c r="B20" s="7" t="s">
        <v>84</v>
      </c>
      <c r="C20" s="5" t="s">
        <v>80</v>
      </c>
      <c r="D20" s="15" t="s">
        <v>87</v>
      </c>
      <c r="E20" s="1">
        <v>0.5</v>
      </c>
      <c r="F20" s="1">
        <v>4.05</v>
      </c>
      <c r="G20" s="9">
        <f>ROUND(E20*F20,2)</f>
        <v>2.0299999999999998</v>
      </c>
    </row>
    <row r="21" spans="2:7" hidden="1" x14ac:dyDescent="0.25">
      <c r="B21" s="6" t="s">
        <v>85</v>
      </c>
      <c r="C21" s="5" t="s">
        <v>81</v>
      </c>
      <c r="D21" s="15" t="s">
        <v>87</v>
      </c>
      <c r="E21" s="1">
        <v>0.5</v>
      </c>
      <c r="F21" s="1">
        <v>1.83</v>
      </c>
      <c r="G21" s="9">
        <f>ROUND(E21*F21,2)</f>
        <v>0.92</v>
      </c>
    </row>
    <row r="22" spans="2:7" ht="15.75" hidden="1" thickBot="1" x14ac:dyDescent="0.3">
      <c r="B22" s="6" t="s">
        <v>86</v>
      </c>
      <c r="C22" s="4" t="s">
        <v>82</v>
      </c>
      <c r="D22" s="15" t="s">
        <v>87</v>
      </c>
      <c r="E22" s="1">
        <v>0.25</v>
      </c>
      <c r="F22" s="1">
        <v>2.0099999999999998</v>
      </c>
      <c r="G22" s="9">
        <f>ROUND(E22*F22,2)</f>
        <v>0.5</v>
      </c>
    </row>
    <row r="23" spans="2:7" hidden="1" x14ac:dyDescent="0.25">
      <c r="B23" s="16" t="s">
        <v>41</v>
      </c>
      <c r="C23" s="24" t="s">
        <v>42</v>
      </c>
      <c r="D23" s="17" t="s">
        <v>43</v>
      </c>
      <c r="E23" s="17" t="s">
        <v>44</v>
      </c>
      <c r="F23" s="20" t="s">
        <v>45</v>
      </c>
      <c r="G23" s="22" t="s">
        <v>46</v>
      </c>
    </row>
    <row r="24" spans="2:7" ht="15.75" hidden="1" thickBot="1" x14ac:dyDescent="0.3">
      <c r="B24" s="18">
        <v>0</v>
      </c>
      <c r="C24" s="19">
        <f>G18</f>
        <v>302.57</v>
      </c>
      <c r="D24" s="19">
        <f>SUM(G19:G20)</f>
        <v>3.04</v>
      </c>
      <c r="E24" s="19">
        <f>SUM(G21:G22)</f>
        <v>1.42</v>
      </c>
      <c r="F24" s="21">
        <v>0</v>
      </c>
      <c r="G24" s="23">
        <f>SUM(G18:G22)</f>
        <v>307.02999999999997</v>
      </c>
    </row>
    <row r="25" spans="2:7" hidden="1" x14ac:dyDescent="0.25"/>
    <row r="30" spans="2:7" ht="15.75" thickBot="1" x14ac:dyDescent="0.3"/>
    <row r="31" spans="2:7" ht="16.5" thickBot="1" x14ac:dyDescent="0.3">
      <c r="B31" s="383" t="s">
        <v>60</v>
      </c>
      <c r="C31" s="384"/>
      <c r="D31" s="384"/>
      <c r="E31" s="384"/>
      <c r="F31" s="384"/>
      <c r="G31" s="385"/>
    </row>
    <row r="32" spans="2:7" ht="65.25" customHeight="1" thickBot="1" x14ac:dyDescent="0.3">
      <c r="B32" s="380" t="s">
        <v>159</v>
      </c>
      <c r="C32" s="381"/>
      <c r="D32" s="381"/>
      <c r="E32" s="381"/>
      <c r="F32" s="381"/>
      <c r="G32" s="382"/>
    </row>
    <row r="33" spans="2:8" ht="15.75" thickBot="1" x14ac:dyDescent="0.3">
      <c r="B33" s="12" t="s">
        <v>34</v>
      </c>
      <c r="C33" s="13" t="s">
        <v>28</v>
      </c>
      <c r="D33" s="71" t="s">
        <v>29</v>
      </c>
      <c r="E33" s="71" t="s">
        <v>30</v>
      </c>
      <c r="F33" s="71" t="s">
        <v>31</v>
      </c>
      <c r="G33" s="72" t="s">
        <v>32</v>
      </c>
    </row>
    <row r="34" spans="2:8" x14ac:dyDescent="0.25">
      <c r="B34" s="10" t="s">
        <v>190</v>
      </c>
      <c r="C34" s="11" t="s">
        <v>215</v>
      </c>
      <c r="D34" s="70" t="s">
        <v>65</v>
      </c>
      <c r="E34" s="61">
        <v>1</v>
      </c>
      <c r="F34" s="85">
        <v>26.5</v>
      </c>
      <c r="G34" s="86">
        <f>E34*F34</f>
        <v>26.5</v>
      </c>
      <c r="H34" s="8">
        <v>1.82</v>
      </c>
    </row>
    <row r="35" spans="2:8" x14ac:dyDescent="0.25">
      <c r="B35" s="6" t="s">
        <v>196</v>
      </c>
      <c r="C35" s="5" t="s">
        <v>216</v>
      </c>
      <c r="D35" s="15" t="s">
        <v>29</v>
      </c>
      <c r="E35" s="1">
        <v>1.05</v>
      </c>
      <c r="F35" s="85">
        <f>H35*0.97</f>
        <v>0.24249999999999999</v>
      </c>
      <c r="G35" s="29">
        <f>ROUND(E35*F35,2)</f>
        <v>0.25</v>
      </c>
      <c r="H35" s="1">
        <v>0.25</v>
      </c>
    </row>
    <row r="36" spans="2:8" x14ac:dyDescent="0.25">
      <c r="B36" s="6" t="s">
        <v>196</v>
      </c>
      <c r="C36" s="4" t="s">
        <v>217</v>
      </c>
      <c r="D36" s="15" t="s">
        <v>95</v>
      </c>
      <c r="E36" s="1">
        <v>3.0000000000000001E-3</v>
      </c>
      <c r="F36" s="85">
        <f>H36*0.97</f>
        <v>43.601500000000001</v>
      </c>
      <c r="G36" s="29">
        <f>ROUND(E36*F36,2)</f>
        <v>0.13</v>
      </c>
      <c r="H36" s="1">
        <v>44.95</v>
      </c>
    </row>
    <row r="37" spans="2:8" x14ac:dyDescent="0.25">
      <c r="B37" s="7" t="s">
        <v>196</v>
      </c>
      <c r="C37" s="5" t="s">
        <v>211</v>
      </c>
      <c r="D37" s="15" t="s">
        <v>87</v>
      </c>
      <c r="E37" s="2">
        <v>1.84</v>
      </c>
      <c r="F37" s="85">
        <f>H37*0.97</f>
        <v>7.6435999999999993</v>
      </c>
      <c r="G37" s="86">
        <f>ROUND(E37*F37,2)</f>
        <v>14.06</v>
      </c>
      <c r="H37" s="1">
        <v>7.88</v>
      </c>
    </row>
    <row r="38" spans="2:8" x14ac:dyDescent="0.25">
      <c r="B38" s="93" t="s">
        <v>191</v>
      </c>
      <c r="C38" s="5" t="s">
        <v>193</v>
      </c>
      <c r="D38" s="15" t="s">
        <v>87</v>
      </c>
      <c r="E38" s="1">
        <v>0.15</v>
      </c>
      <c r="F38" s="61">
        <v>5.0599999999999996</v>
      </c>
      <c r="G38" s="9">
        <f>ROUND(E38*F38,2)</f>
        <v>0.76</v>
      </c>
      <c r="H38" s="1">
        <v>1.83</v>
      </c>
    </row>
    <row r="39" spans="2:8" ht="15.75" thickBot="1" x14ac:dyDescent="0.3">
      <c r="B39" s="92" t="s">
        <v>192</v>
      </c>
      <c r="C39" s="5" t="s">
        <v>194</v>
      </c>
      <c r="D39" s="15" t="s">
        <v>87</v>
      </c>
      <c r="E39" s="1">
        <v>2</v>
      </c>
      <c r="F39" s="61">
        <v>3.41</v>
      </c>
      <c r="G39" s="9">
        <f>ROUND(E39*F39,2)</f>
        <v>6.82</v>
      </c>
      <c r="H39" s="1">
        <v>1.78</v>
      </c>
    </row>
    <row r="40" spans="2:8" x14ac:dyDescent="0.25">
      <c r="B40" s="16" t="s">
        <v>41</v>
      </c>
      <c r="C40" s="24" t="s">
        <v>42</v>
      </c>
      <c r="D40" s="17" t="s">
        <v>43</v>
      </c>
      <c r="E40" s="17" t="s">
        <v>44</v>
      </c>
      <c r="F40" s="20" t="s">
        <v>45</v>
      </c>
      <c r="G40" s="22" t="s">
        <v>46</v>
      </c>
    </row>
    <row r="41" spans="2:8" ht="15.75" thickBot="1" x14ac:dyDescent="0.3">
      <c r="B41" s="18">
        <v>0</v>
      </c>
      <c r="C41" s="94">
        <f>G34+G35+G36</f>
        <v>26.88</v>
      </c>
      <c r="D41" s="94">
        <f>G37+G38+G39</f>
        <v>21.64</v>
      </c>
      <c r="E41" s="94">
        <f>D41*0.7431</f>
        <v>16.080684000000002</v>
      </c>
      <c r="F41" s="21">
        <v>0</v>
      </c>
      <c r="G41" s="87">
        <f>SUM(G34:G39)+0.01</f>
        <v>48.529999999999994</v>
      </c>
    </row>
  </sheetData>
  <mergeCells count="6">
    <mergeCell ref="B32:G32"/>
    <mergeCell ref="B3:G3"/>
    <mergeCell ref="B4:G4"/>
    <mergeCell ref="B15:G15"/>
    <mergeCell ref="B16:G16"/>
    <mergeCell ref="B31:G31"/>
  </mergeCells>
  <pageMargins left="1.1811023622047245" right="0.78740157480314965" top="0.78740157480314965" bottom="0.78740157480314965" header="0" footer="0"/>
  <pageSetup paperSize="9" scale="75" orientation="portrait" verticalDpi="3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2"/>
  <dimension ref="B2:H40"/>
  <sheetViews>
    <sheetView view="pageBreakPreview" topLeftCell="A31" zoomScaleNormal="100" zoomScaleSheetLayoutView="100" workbookViewId="0">
      <selection activeCell="C37" sqref="C37"/>
    </sheetView>
  </sheetViews>
  <sheetFormatPr defaultRowHeight="15" x14ac:dyDescent="0.25"/>
  <cols>
    <col min="2" max="2" width="12.85546875" bestFit="1" customWidth="1"/>
    <col min="3" max="3" width="44.85546875" customWidth="1"/>
    <col min="4" max="4" width="12.7109375" bestFit="1" customWidth="1"/>
    <col min="5" max="5" width="10.140625" bestFit="1" customWidth="1"/>
    <col min="6" max="6" width="10.28515625" bestFit="1" customWidth="1"/>
    <col min="7" max="7" width="15.5703125" bestFit="1" customWidth="1"/>
    <col min="8" max="8" width="0" hidden="1" customWidth="1"/>
  </cols>
  <sheetData>
    <row r="2" spans="2:7" ht="15.75" hidden="1" thickBot="1" x14ac:dyDescent="0.3"/>
    <row r="3" spans="2:7" ht="16.5" hidden="1" thickBot="1" x14ac:dyDescent="0.3">
      <c r="B3" s="383" t="s">
        <v>60</v>
      </c>
      <c r="C3" s="384"/>
      <c r="D3" s="384"/>
      <c r="E3" s="384"/>
      <c r="F3" s="384"/>
      <c r="G3" s="385"/>
    </row>
    <row r="4" spans="2:7" ht="60" hidden="1" customHeight="1" thickBot="1" x14ac:dyDescent="0.3">
      <c r="B4" s="380" t="s">
        <v>78</v>
      </c>
      <c r="C4" s="381"/>
      <c r="D4" s="381"/>
      <c r="E4" s="381"/>
      <c r="F4" s="381"/>
      <c r="G4" s="382"/>
    </row>
    <row r="5" spans="2:7" ht="15.75" hidden="1" thickBot="1" x14ac:dyDescent="0.3">
      <c r="B5" s="12" t="s">
        <v>34</v>
      </c>
      <c r="C5" s="13" t="s">
        <v>28</v>
      </c>
      <c r="D5" s="71" t="s">
        <v>29</v>
      </c>
      <c r="E5" s="71" t="s">
        <v>30</v>
      </c>
      <c r="F5" s="71" t="s">
        <v>31</v>
      </c>
      <c r="G5" s="72" t="s">
        <v>32</v>
      </c>
    </row>
    <row r="6" spans="2:7" hidden="1" x14ac:dyDescent="0.25">
      <c r="B6" s="10" t="s">
        <v>0</v>
      </c>
      <c r="C6" s="11" t="s">
        <v>88</v>
      </c>
      <c r="D6" s="70" t="s">
        <v>29</v>
      </c>
      <c r="E6" s="8">
        <v>1</v>
      </c>
      <c r="F6" s="8">
        <v>107.5</v>
      </c>
      <c r="G6" s="9">
        <v>107.5</v>
      </c>
    </row>
    <row r="7" spans="2:7" hidden="1" x14ac:dyDescent="0.25">
      <c r="B7" s="6" t="s">
        <v>83</v>
      </c>
      <c r="C7" s="5" t="s">
        <v>79</v>
      </c>
      <c r="D7" s="15" t="s">
        <v>87</v>
      </c>
      <c r="E7" s="1">
        <v>0.25</v>
      </c>
      <c r="F7" s="1">
        <v>4.05</v>
      </c>
      <c r="G7" s="9">
        <f>ROUND(E7*F7,2)</f>
        <v>1.01</v>
      </c>
    </row>
    <row r="8" spans="2:7" hidden="1" x14ac:dyDescent="0.25">
      <c r="B8" s="7" t="s">
        <v>84</v>
      </c>
      <c r="C8" s="5" t="s">
        <v>80</v>
      </c>
      <c r="D8" s="15" t="s">
        <v>87</v>
      </c>
      <c r="E8" s="1">
        <v>0.5</v>
      </c>
      <c r="F8" s="1">
        <v>4.05</v>
      </c>
      <c r="G8" s="9">
        <f>ROUND(E8*F8,2)</f>
        <v>2.0299999999999998</v>
      </c>
    </row>
    <row r="9" spans="2:7" hidden="1" x14ac:dyDescent="0.25">
      <c r="B9" s="6" t="s">
        <v>85</v>
      </c>
      <c r="C9" s="5" t="s">
        <v>81</v>
      </c>
      <c r="D9" s="15" t="s">
        <v>87</v>
      </c>
      <c r="E9" s="1">
        <v>0.5</v>
      </c>
      <c r="F9" s="1">
        <v>1.83</v>
      </c>
      <c r="G9" s="9">
        <f>ROUND(E9*F9,2)</f>
        <v>0.92</v>
      </c>
    </row>
    <row r="10" spans="2:7" ht="15.75" hidden="1" thickBot="1" x14ac:dyDescent="0.3">
      <c r="B10" s="6" t="s">
        <v>86</v>
      </c>
      <c r="C10" s="4" t="s">
        <v>82</v>
      </c>
      <c r="D10" s="15" t="s">
        <v>87</v>
      </c>
      <c r="E10" s="1">
        <v>0.25</v>
      </c>
      <c r="F10" s="1">
        <v>2.0099999999999998</v>
      </c>
      <c r="G10" s="9">
        <f>ROUND(E10*F10,2)</f>
        <v>0.5</v>
      </c>
    </row>
    <row r="11" spans="2:7" hidden="1" x14ac:dyDescent="0.25">
      <c r="B11" s="16" t="s">
        <v>41</v>
      </c>
      <c r="C11" s="24" t="s">
        <v>42</v>
      </c>
      <c r="D11" s="17" t="s">
        <v>43</v>
      </c>
      <c r="E11" s="17" t="s">
        <v>44</v>
      </c>
      <c r="F11" s="20" t="s">
        <v>45</v>
      </c>
      <c r="G11" s="22" t="s">
        <v>46</v>
      </c>
    </row>
    <row r="12" spans="2:7" ht="15.75" hidden="1" thickBot="1" x14ac:dyDescent="0.3">
      <c r="B12" s="18">
        <v>0</v>
      </c>
      <c r="C12" s="19">
        <f>G6</f>
        <v>107.5</v>
      </c>
      <c r="D12" s="19">
        <f>SUM(G7:G8)</f>
        <v>3.04</v>
      </c>
      <c r="E12" s="19">
        <f>SUM(G9:G10)</f>
        <v>1.42</v>
      </c>
      <c r="F12" s="21">
        <v>0</v>
      </c>
      <c r="G12" s="23">
        <f>SUM(G6:G10)</f>
        <v>111.96000000000001</v>
      </c>
    </row>
    <row r="13" spans="2:7" hidden="1" x14ac:dyDescent="0.25"/>
    <row r="14" spans="2:7" ht="15.75" hidden="1" thickBot="1" x14ac:dyDescent="0.3"/>
    <row r="15" spans="2:7" ht="16.5" hidden="1" thickBot="1" x14ac:dyDescent="0.3">
      <c r="B15" s="383" t="s">
        <v>60</v>
      </c>
      <c r="C15" s="384"/>
      <c r="D15" s="384"/>
      <c r="E15" s="384"/>
      <c r="F15" s="384"/>
      <c r="G15" s="385"/>
    </row>
    <row r="16" spans="2:7" ht="61.5" hidden="1" customHeight="1" thickBot="1" x14ac:dyDescent="0.3">
      <c r="B16" s="380" t="s">
        <v>89</v>
      </c>
      <c r="C16" s="381"/>
      <c r="D16" s="381"/>
      <c r="E16" s="381"/>
      <c r="F16" s="381"/>
      <c r="G16" s="382"/>
    </row>
    <row r="17" spans="2:7" ht="15.75" hidden="1" thickBot="1" x14ac:dyDescent="0.3">
      <c r="B17" s="12" t="s">
        <v>34</v>
      </c>
      <c r="C17" s="13" t="s">
        <v>28</v>
      </c>
      <c r="D17" s="71" t="s">
        <v>29</v>
      </c>
      <c r="E17" s="71" t="s">
        <v>30</v>
      </c>
      <c r="F17" s="71" t="s">
        <v>31</v>
      </c>
      <c r="G17" s="72" t="s">
        <v>32</v>
      </c>
    </row>
    <row r="18" spans="2:7" ht="15.75" hidden="1" customHeight="1" x14ac:dyDescent="0.25">
      <c r="B18" s="10" t="s">
        <v>0</v>
      </c>
      <c r="C18" s="11" t="s">
        <v>90</v>
      </c>
      <c r="D18" s="70" t="s">
        <v>29</v>
      </c>
      <c r="E18" s="8">
        <v>1</v>
      </c>
      <c r="F18" s="8">
        <v>107.5</v>
      </c>
      <c r="G18" s="9">
        <v>302.57</v>
      </c>
    </row>
    <row r="19" spans="2:7" hidden="1" x14ac:dyDescent="0.25">
      <c r="B19" s="6" t="s">
        <v>83</v>
      </c>
      <c r="C19" s="5" t="s">
        <v>79</v>
      </c>
      <c r="D19" s="15" t="s">
        <v>87</v>
      </c>
      <c r="E19" s="1">
        <v>0.25</v>
      </c>
      <c r="F19" s="1">
        <v>4.05</v>
      </c>
      <c r="G19" s="9">
        <f>ROUND(E19*F19,2)</f>
        <v>1.01</v>
      </c>
    </row>
    <row r="20" spans="2:7" hidden="1" x14ac:dyDescent="0.25">
      <c r="B20" s="7" t="s">
        <v>84</v>
      </c>
      <c r="C20" s="5" t="s">
        <v>80</v>
      </c>
      <c r="D20" s="15" t="s">
        <v>87</v>
      </c>
      <c r="E20" s="1">
        <v>0.5</v>
      </c>
      <c r="F20" s="1">
        <v>4.05</v>
      </c>
      <c r="G20" s="9">
        <f>ROUND(E20*F20,2)</f>
        <v>2.0299999999999998</v>
      </c>
    </row>
    <row r="21" spans="2:7" hidden="1" x14ac:dyDescent="0.25">
      <c r="B21" s="6" t="s">
        <v>85</v>
      </c>
      <c r="C21" s="5" t="s">
        <v>81</v>
      </c>
      <c r="D21" s="15" t="s">
        <v>87</v>
      </c>
      <c r="E21" s="1">
        <v>0.5</v>
      </c>
      <c r="F21" s="1">
        <v>1.83</v>
      </c>
      <c r="G21" s="9">
        <f>ROUND(E21*F21,2)</f>
        <v>0.92</v>
      </c>
    </row>
    <row r="22" spans="2:7" ht="15.75" hidden="1" thickBot="1" x14ac:dyDescent="0.3">
      <c r="B22" s="6" t="s">
        <v>86</v>
      </c>
      <c r="C22" s="4" t="s">
        <v>82</v>
      </c>
      <c r="D22" s="15" t="s">
        <v>87</v>
      </c>
      <c r="E22" s="1">
        <v>0.25</v>
      </c>
      <c r="F22" s="1">
        <v>2.0099999999999998</v>
      </c>
      <c r="G22" s="9">
        <f>ROUND(E22*F22,2)</f>
        <v>0.5</v>
      </c>
    </row>
    <row r="23" spans="2:7" hidden="1" x14ac:dyDescent="0.25">
      <c r="B23" s="16" t="s">
        <v>41</v>
      </c>
      <c r="C23" s="24" t="s">
        <v>42</v>
      </c>
      <c r="D23" s="17" t="s">
        <v>43</v>
      </c>
      <c r="E23" s="17" t="s">
        <v>44</v>
      </c>
      <c r="F23" s="20" t="s">
        <v>45</v>
      </c>
      <c r="G23" s="22" t="s">
        <v>46</v>
      </c>
    </row>
    <row r="24" spans="2:7" ht="15.75" hidden="1" thickBot="1" x14ac:dyDescent="0.3">
      <c r="B24" s="18">
        <v>0</v>
      </c>
      <c r="C24" s="19">
        <f>G18</f>
        <v>302.57</v>
      </c>
      <c r="D24" s="19">
        <f>SUM(G19:G20)</f>
        <v>3.04</v>
      </c>
      <c r="E24" s="19">
        <f>SUM(G21:G22)</f>
        <v>1.42</v>
      </c>
      <c r="F24" s="21">
        <v>0</v>
      </c>
      <c r="G24" s="23">
        <f>SUM(G18:G22)</f>
        <v>307.02999999999997</v>
      </c>
    </row>
    <row r="25" spans="2:7" hidden="1" x14ac:dyDescent="0.25"/>
    <row r="30" spans="2:7" ht="15.75" thickBot="1" x14ac:dyDescent="0.3"/>
    <row r="31" spans="2:7" ht="16.5" thickBot="1" x14ac:dyDescent="0.3">
      <c r="B31" s="383" t="s">
        <v>60</v>
      </c>
      <c r="C31" s="384"/>
      <c r="D31" s="384"/>
      <c r="E31" s="384"/>
      <c r="F31" s="384"/>
      <c r="G31" s="385"/>
    </row>
    <row r="32" spans="2:7" ht="65.25" customHeight="1" thickBot="1" x14ac:dyDescent="0.3">
      <c r="B32" s="380" t="s">
        <v>160</v>
      </c>
      <c r="C32" s="381"/>
      <c r="D32" s="381"/>
      <c r="E32" s="381"/>
      <c r="F32" s="381"/>
      <c r="G32" s="382"/>
    </row>
    <row r="33" spans="2:8" ht="15.75" thickBot="1" x14ac:dyDescent="0.3">
      <c r="B33" s="12" t="s">
        <v>34</v>
      </c>
      <c r="C33" s="13" t="s">
        <v>28</v>
      </c>
      <c r="D33" s="71" t="s">
        <v>29</v>
      </c>
      <c r="E33" s="71" t="s">
        <v>30</v>
      </c>
      <c r="F33" s="71" t="s">
        <v>31</v>
      </c>
      <c r="G33" s="72" t="s">
        <v>32</v>
      </c>
    </row>
    <row r="34" spans="2:8" x14ac:dyDescent="0.25">
      <c r="B34" s="6" t="s">
        <v>125</v>
      </c>
      <c r="C34" s="5" t="s">
        <v>124</v>
      </c>
      <c r="D34" s="15" t="s">
        <v>95</v>
      </c>
      <c r="E34" s="2">
        <v>8</v>
      </c>
      <c r="F34" s="85">
        <f>H34*0.97</f>
        <v>0.37830000000000003</v>
      </c>
      <c r="G34" s="29">
        <f>ROUND(E34*F34,2)</f>
        <v>3.03</v>
      </c>
      <c r="H34" s="1">
        <v>0.39</v>
      </c>
    </row>
    <row r="35" spans="2:8" x14ac:dyDescent="0.25">
      <c r="B35" s="6" t="s">
        <v>127</v>
      </c>
      <c r="C35" s="5" t="s">
        <v>120</v>
      </c>
      <c r="D35" s="15" t="s">
        <v>105</v>
      </c>
      <c r="E35" s="1">
        <v>0.2</v>
      </c>
      <c r="F35" s="85">
        <f>H35*0.97</f>
        <v>58.199999999999996</v>
      </c>
      <c r="G35" s="29">
        <f>ROUND(E35*F35,2)</f>
        <v>11.64</v>
      </c>
      <c r="H35" s="1">
        <v>60</v>
      </c>
    </row>
    <row r="36" spans="2:8" x14ac:dyDescent="0.25">
      <c r="B36" s="75" t="s">
        <v>190</v>
      </c>
      <c r="C36" s="5" t="s">
        <v>218</v>
      </c>
      <c r="D36" s="15" t="s">
        <v>87</v>
      </c>
      <c r="E36" s="2">
        <v>0.2</v>
      </c>
      <c r="F36" s="85">
        <v>49</v>
      </c>
      <c r="G36" s="86">
        <f>ROUND(E36*F36,2)</f>
        <v>9.8000000000000007</v>
      </c>
      <c r="H36" s="1">
        <v>10.63</v>
      </c>
    </row>
    <row r="37" spans="2:8" x14ac:dyDescent="0.25">
      <c r="B37" s="93" t="s">
        <v>191</v>
      </c>
      <c r="C37" s="5" t="s">
        <v>193</v>
      </c>
      <c r="D37" s="15" t="s">
        <v>87</v>
      </c>
      <c r="E37" s="1">
        <v>3</v>
      </c>
      <c r="F37" s="61">
        <v>5.0599999999999996</v>
      </c>
      <c r="G37" s="9">
        <f>ROUND(E37*F37,2)</f>
        <v>15.18</v>
      </c>
      <c r="H37" s="1">
        <v>1.83</v>
      </c>
    </row>
    <row r="38" spans="2:8" ht="15.75" thickBot="1" x14ac:dyDescent="0.3">
      <c r="B38" s="92" t="s">
        <v>192</v>
      </c>
      <c r="C38" s="5" t="s">
        <v>194</v>
      </c>
      <c r="D38" s="15" t="s">
        <v>87</v>
      </c>
      <c r="E38" s="1">
        <v>2.625</v>
      </c>
      <c r="F38" s="61">
        <v>3.41</v>
      </c>
      <c r="G38" s="9">
        <f>ROUND(E38*F38,2)</f>
        <v>8.9499999999999993</v>
      </c>
      <c r="H38" s="1">
        <v>1.78</v>
      </c>
    </row>
    <row r="39" spans="2:8" x14ac:dyDescent="0.25">
      <c r="B39" s="16" t="s">
        <v>41</v>
      </c>
      <c r="C39" s="24" t="s">
        <v>42</v>
      </c>
      <c r="D39" s="17" t="s">
        <v>43</v>
      </c>
      <c r="E39" s="17" t="s">
        <v>44</v>
      </c>
      <c r="F39" s="20" t="s">
        <v>45</v>
      </c>
      <c r="G39" s="22" t="s">
        <v>46</v>
      </c>
    </row>
    <row r="40" spans="2:8" ht="15.75" thickBot="1" x14ac:dyDescent="0.3">
      <c r="B40" s="18">
        <v>0</v>
      </c>
      <c r="C40" s="94">
        <f>G34+G35+G36</f>
        <v>24.47</v>
      </c>
      <c r="D40" s="19">
        <f>G37+G38</f>
        <v>24.13</v>
      </c>
      <c r="E40" s="94">
        <f>D40*0.7431</f>
        <v>17.931003</v>
      </c>
      <c r="F40" s="21">
        <v>0</v>
      </c>
      <c r="G40" s="87">
        <f>SUM(G34:G38)+0.01</f>
        <v>48.609999999999992</v>
      </c>
    </row>
  </sheetData>
  <mergeCells count="6">
    <mergeCell ref="B32:G32"/>
    <mergeCell ref="B3:G3"/>
    <mergeCell ref="B4:G4"/>
    <mergeCell ref="B15:G15"/>
    <mergeCell ref="B16:G16"/>
    <mergeCell ref="B31:G31"/>
  </mergeCells>
  <pageMargins left="1.1811023622047245" right="0.78740157480314965" top="0.78740157480314965" bottom="0.78740157480314965" header="0" footer="0"/>
  <pageSetup paperSize="9" scale="75" orientation="portrait" verticalDpi="3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3"/>
  <dimension ref="B2:H38"/>
  <sheetViews>
    <sheetView view="pageBreakPreview" zoomScaleNormal="100" zoomScaleSheetLayoutView="100" workbookViewId="0">
      <selection activeCell="C37" sqref="C37"/>
    </sheetView>
  </sheetViews>
  <sheetFormatPr defaultRowHeight="15" x14ac:dyDescent="0.25"/>
  <cols>
    <col min="2" max="2" width="12.85546875" bestFit="1" customWidth="1"/>
    <col min="3" max="3" width="44.85546875" customWidth="1"/>
    <col min="4" max="4" width="12.7109375" bestFit="1" customWidth="1"/>
    <col min="5" max="5" width="10.140625" bestFit="1" customWidth="1"/>
    <col min="6" max="6" width="10.28515625" bestFit="1" customWidth="1"/>
    <col min="7" max="7" width="15.5703125" bestFit="1" customWidth="1"/>
    <col min="8" max="8" width="0" hidden="1" customWidth="1"/>
  </cols>
  <sheetData>
    <row r="2" spans="2:7" ht="15.75" hidden="1" thickBot="1" x14ac:dyDescent="0.3"/>
    <row r="3" spans="2:7" ht="16.5" hidden="1" thickBot="1" x14ac:dyDescent="0.3">
      <c r="B3" s="383" t="s">
        <v>60</v>
      </c>
      <c r="C3" s="384"/>
      <c r="D3" s="384"/>
      <c r="E3" s="384"/>
      <c r="F3" s="384"/>
      <c r="G3" s="385"/>
    </row>
    <row r="4" spans="2:7" ht="60" hidden="1" customHeight="1" thickBot="1" x14ac:dyDescent="0.3">
      <c r="B4" s="380" t="s">
        <v>78</v>
      </c>
      <c r="C4" s="381"/>
      <c r="D4" s="381"/>
      <c r="E4" s="381"/>
      <c r="F4" s="381"/>
      <c r="G4" s="382"/>
    </row>
    <row r="5" spans="2:7" ht="15.75" hidden="1" thickBot="1" x14ac:dyDescent="0.3">
      <c r="B5" s="12" t="s">
        <v>34</v>
      </c>
      <c r="C5" s="13" t="s">
        <v>28</v>
      </c>
      <c r="D5" s="71" t="s">
        <v>29</v>
      </c>
      <c r="E5" s="71" t="s">
        <v>30</v>
      </c>
      <c r="F5" s="71" t="s">
        <v>31</v>
      </c>
      <c r="G5" s="72" t="s">
        <v>32</v>
      </c>
    </row>
    <row r="6" spans="2:7" hidden="1" x14ac:dyDescent="0.25">
      <c r="B6" s="10" t="s">
        <v>0</v>
      </c>
      <c r="C6" s="11" t="s">
        <v>88</v>
      </c>
      <c r="D6" s="70" t="s">
        <v>29</v>
      </c>
      <c r="E6" s="8">
        <v>1</v>
      </c>
      <c r="F6" s="8">
        <v>107.5</v>
      </c>
      <c r="G6" s="9">
        <v>107.5</v>
      </c>
    </row>
    <row r="7" spans="2:7" hidden="1" x14ac:dyDescent="0.25">
      <c r="B7" s="6" t="s">
        <v>83</v>
      </c>
      <c r="C7" s="5" t="s">
        <v>79</v>
      </c>
      <c r="D7" s="15" t="s">
        <v>87</v>
      </c>
      <c r="E7" s="1">
        <v>0.25</v>
      </c>
      <c r="F7" s="1">
        <v>4.05</v>
      </c>
      <c r="G7" s="9">
        <f>ROUND(E7*F7,2)</f>
        <v>1.01</v>
      </c>
    </row>
    <row r="8" spans="2:7" hidden="1" x14ac:dyDescent="0.25">
      <c r="B8" s="7" t="s">
        <v>84</v>
      </c>
      <c r="C8" s="5" t="s">
        <v>80</v>
      </c>
      <c r="D8" s="15" t="s">
        <v>87</v>
      </c>
      <c r="E8" s="1">
        <v>0.5</v>
      </c>
      <c r="F8" s="1">
        <v>4.05</v>
      </c>
      <c r="G8" s="9">
        <f>ROUND(E8*F8,2)</f>
        <v>2.0299999999999998</v>
      </c>
    </row>
    <row r="9" spans="2:7" hidden="1" x14ac:dyDescent="0.25">
      <c r="B9" s="6" t="s">
        <v>85</v>
      </c>
      <c r="C9" s="5" t="s">
        <v>81</v>
      </c>
      <c r="D9" s="15" t="s">
        <v>87</v>
      </c>
      <c r="E9" s="1">
        <v>0.5</v>
      </c>
      <c r="F9" s="1">
        <v>1.83</v>
      </c>
      <c r="G9" s="9">
        <f>ROUND(E9*F9,2)</f>
        <v>0.92</v>
      </c>
    </row>
    <row r="10" spans="2:7" ht="15.75" hidden="1" thickBot="1" x14ac:dyDescent="0.3">
      <c r="B10" s="6" t="s">
        <v>86</v>
      </c>
      <c r="C10" s="4" t="s">
        <v>82</v>
      </c>
      <c r="D10" s="15" t="s">
        <v>87</v>
      </c>
      <c r="E10" s="1">
        <v>0.25</v>
      </c>
      <c r="F10" s="1">
        <v>2.0099999999999998</v>
      </c>
      <c r="G10" s="9">
        <f>ROUND(E10*F10,2)</f>
        <v>0.5</v>
      </c>
    </row>
    <row r="11" spans="2:7" hidden="1" x14ac:dyDescent="0.25">
      <c r="B11" s="16" t="s">
        <v>41</v>
      </c>
      <c r="C11" s="24" t="s">
        <v>42</v>
      </c>
      <c r="D11" s="17" t="s">
        <v>43</v>
      </c>
      <c r="E11" s="17" t="s">
        <v>44</v>
      </c>
      <c r="F11" s="20" t="s">
        <v>45</v>
      </c>
      <c r="G11" s="22" t="s">
        <v>46</v>
      </c>
    </row>
    <row r="12" spans="2:7" ht="15.75" hidden="1" thickBot="1" x14ac:dyDescent="0.3">
      <c r="B12" s="18">
        <v>0</v>
      </c>
      <c r="C12" s="19">
        <f>G6</f>
        <v>107.5</v>
      </c>
      <c r="D12" s="19">
        <f>SUM(G7:G8)</f>
        <v>3.04</v>
      </c>
      <c r="E12" s="19">
        <f>SUM(G9:G10)</f>
        <v>1.42</v>
      </c>
      <c r="F12" s="21">
        <v>0</v>
      </c>
      <c r="G12" s="23">
        <f>SUM(G6:G10)</f>
        <v>111.96000000000001</v>
      </c>
    </row>
    <row r="13" spans="2:7" hidden="1" x14ac:dyDescent="0.25"/>
    <row r="14" spans="2:7" ht="15.75" hidden="1" thickBot="1" x14ac:dyDescent="0.3"/>
    <row r="15" spans="2:7" ht="16.5" hidden="1" thickBot="1" x14ac:dyDescent="0.3">
      <c r="B15" s="383" t="s">
        <v>60</v>
      </c>
      <c r="C15" s="384"/>
      <c r="D15" s="384"/>
      <c r="E15" s="384"/>
      <c r="F15" s="384"/>
      <c r="G15" s="385"/>
    </row>
    <row r="16" spans="2:7" ht="61.5" hidden="1" customHeight="1" thickBot="1" x14ac:dyDescent="0.3">
      <c r="B16" s="380" t="s">
        <v>89</v>
      </c>
      <c r="C16" s="381"/>
      <c r="D16" s="381"/>
      <c r="E16" s="381"/>
      <c r="F16" s="381"/>
      <c r="G16" s="382"/>
    </row>
    <row r="17" spans="2:7" ht="15.75" hidden="1" thickBot="1" x14ac:dyDescent="0.3">
      <c r="B17" s="12" t="s">
        <v>34</v>
      </c>
      <c r="C17" s="13" t="s">
        <v>28</v>
      </c>
      <c r="D17" s="71" t="s">
        <v>29</v>
      </c>
      <c r="E17" s="71" t="s">
        <v>30</v>
      </c>
      <c r="F17" s="71" t="s">
        <v>31</v>
      </c>
      <c r="G17" s="72" t="s">
        <v>32</v>
      </c>
    </row>
    <row r="18" spans="2:7" ht="15.75" hidden="1" customHeight="1" x14ac:dyDescent="0.25">
      <c r="B18" s="10" t="s">
        <v>0</v>
      </c>
      <c r="C18" s="11" t="s">
        <v>90</v>
      </c>
      <c r="D18" s="70" t="s">
        <v>29</v>
      </c>
      <c r="E18" s="8">
        <v>1</v>
      </c>
      <c r="F18" s="8">
        <v>107.5</v>
      </c>
      <c r="G18" s="9">
        <v>302.57</v>
      </c>
    </row>
    <row r="19" spans="2:7" hidden="1" x14ac:dyDescent="0.25">
      <c r="B19" s="6" t="s">
        <v>83</v>
      </c>
      <c r="C19" s="5" t="s">
        <v>79</v>
      </c>
      <c r="D19" s="15" t="s">
        <v>87</v>
      </c>
      <c r="E19" s="1">
        <v>0.25</v>
      </c>
      <c r="F19" s="1">
        <v>4.05</v>
      </c>
      <c r="G19" s="9">
        <f>ROUND(E19*F19,2)</f>
        <v>1.01</v>
      </c>
    </row>
    <row r="20" spans="2:7" hidden="1" x14ac:dyDescent="0.25">
      <c r="B20" s="7" t="s">
        <v>84</v>
      </c>
      <c r="C20" s="5" t="s">
        <v>80</v>
      </c>
      <c r="D20" s="15" t="s">
        <v>87</v>
      </c>
      <c r="E20" s="1">
        <v>0.5</v>
      </c>
      <c r="F20" s="1">
        <v>4.05</v>
      </c>
      <c r="G20" s="9">
        <f>ROUND(E20*F20,2)</f>
        <v>2.0299999999999998</v>
      </c>
    </row>
    <row r="21" spans="2:7" hidden="1" x14ac:dyDescent="0.25">
      <c r="B21" s="6" t="s">
        <v>85</v>
      </c>
      <c r="C21" s="5" t="s">
        <v>81</v>
      </c>
      <c r="D21" s="15" t="s">
        <v>87</v>
      </c>
      <c r="E21" s="1">
        <v>0.5</v>
      </c>
      <c r="F21" s="1">
        <v>1.83</v>
      </c>
      <c r="G21" s="9">
        <f>ROUND(E21*F21,2)</f>
        <v>0.92</v>
      </c>
    </row>
    <row r="22" spans="2:7" ht="15.75" hidden="1" thickBot="1" x14ac:dyDescent="0.3">
      <c r="B22" s="6" t="s">
        <v>86</v>
      </c>
      <c r="C22" s="4" t="s">
        <v>82</v>
      </c>
      <c r="D22" s="15" t="s">
        <v>87</v>
      </c>
      <c r="E22" s="1">
        <v>0.25</v>
      </c>
      <c r="F22" s="1">
        <v>2.0099999999999998</v>
      </c>
      <c r="G22" s="9">
        <f>ROUND(E22*F22,2)</f>
        <v>0.5</v>
      </c>
    </row>
    <row r="23" spans="2:7" hidden="1" x14ac:dyDescent="0.25">
      <c r="B23" s="16" t="s">
        <v>41</v>
      </c>
      <c r="C23" s="24" t="s">
        <v>42</v>
      </c>
      <c r="D23" s="17" t="s">
        <v>43</v>
      </c>
      <c r="E23" s="17" t="s">
        <v>44</v>
      </c>
      <c r="F23" s="20" t="s">
        <v>45</v>
      </c>
      <c r="G23" s="22" t="s">
        <v>46</v>
      </c>
    </row>
    <row r="24" spans="2:7" ht="15.75" hidden="1" thickBot="1" x14ac:dyDescent="0.3">
      <c r="B24" s="18">
        <v>0</v>
      </c>
      <c r="C24" s="19">
        <f>G18</f>
        <v>302.57</v>
      </c>
      <c r="D24" s="19">
        <f>SUM(G19:G20)</f>
        <v>3.04</v>
      </c>
      <c r="E24" s="19">
        <f>SUM(G21:G22)</f>
        <v>1.42</v>
      </c>
      <c r="F24" s="21">
        <v>0</v>
      </c>
      <c r="G24" s="23">
        <f>SUM(G18:G22)</f>
        <v>307.02999999999997</v>
      </c>
    </row>
    <row r="25" spans="2:7" hidden="1" x14ac:dyDescent="0.25"/>
    <row r="26" spans="2:7" hidden="1" x14ac:dyDescent="0.25"/>
    <row r="27" spans="2:7" hidden="1" x14ac:dyDescent="0.25"/>
    <row r="28" spans="2:7" hidden="1" x14ac:dyDescent="0.25"/>
    <row r="29" spans="2:7" hidden="1" x14ac:dyDescent="0.25"/>
    <row r="30" spans="2:7" ht="15.75" thickBot="1" x14ac:dyDescent="0.3"/>
    <row r="31" spans="2:7" ht="16.5" thickBot="1" x14ac:dyDescent="0.3">
      <c r="B31" s="383" t="s">
        <v>60</v>
      </c>
      <c r="C31" s="384"/>
      <c r="D31" s="384"/>
      <c r="E31" s="384"/>
      <c r="F31" s="384"/>
      <c r="G31" s="385"/>
    </row>
    <row r="32" spans="2:7" ht="65.25" customHeight="1" thickBot="1" x14ac:dyDescent="0.3">
      <c r="B32" s="380" t="s">
        <v>161</v>
      </c>
      <c r="C32" s="381"/>
      <c r="D32" s="381"/>
      <c r="E32" s="381"/>
      <c r="F32" s="381"/>
      <c r="G32" s="382"/>
    </row>
    <row r="33" spans="2:8" ht="15.75" thickBot="1" x14ac:dyDescent="0.3">
      <c r="B33" s="12" t="s">
        <v>34</v>
      </c>
      <c r="C33" s="13" t="s">
        <v>28</v>
      </c>
      <c r="D33" s="71" t="s">
        <v>29</v>
      </c>
      <c r="E33" s="71" t="s">
        <v>30</v>
      </c>
      <c r="F33" s="71" t="s">
        <v>31</v>
      </c>
      <c r="G33" s="72" t="s">
        <v>32</v>
      </c>
    </row>
    <row r="34" spans="2:8" x14ac:dyDescent="0.25">
      <c r="B34" s="10" t="s">
        <v>190</v>
      </c>
      <c r="C34" s="11" t="s">
        <v>219</v>
      </c>
      <c r="D34" s="70" t="s">
        <v>26</v>
      </c>
      <c r="E34" s="61">
        <v>1</v>
      </c>
      <c r="F34" s="85">
        <v>62</v>
      </c>
      <c r="G34" s="86">
        <f>E34*F34</f>
        <v>62</v>
      </c>
      <c r="H34" s="8">
        <v>1.82</v>
      </c>
    </row>
    <row r="35" spans="2:8" x14ac:dyDescent="0.25">
      <c r="B35" s="93" t="s">
        <v>191</v>
      </c>
      <c r="C35" s="5" t="s">
        <v>193</v>
      </c>
      <c r="D35" s="15" t="s">
        <v>87</v>
      </c>
      <c r="E35" s="1">
        <v>0.15</v>
      </c>
      <c r="F35" s="61">
        <v>5.0599999999999996</v>
      </c>
      <c r="G35" s="9">
        <f>ROUND(E35*F35,2)</f>
        <v>0.76</v>
      </c>
      <c r="H35" s="1">
        <v>1.83</v>
      </c>
    </row>
    <row r="36" spans="2:8" ht="15.75" thickBot="1" x14ac:dyDescent="0.3">
      <c r="B36" s="92" t="s">
        <v>192</v>
      </c>
      <c r="C36" s="5" t="s">
        <v>194</v>
      </c>
      <c r="D36" s="15" t="s">
        <v>87</v>
      </c>
      <c r="E36" s="1">
        <v>1.89</v>
      </c>
      <c r="F36" s="61">
        <v>3.41</v>
      </c>
      <c r="G36" s="9">
        <f>ROUND(E36*F36,2)</f>
        <v>6.44</v>
      </c>
      <c r="H36" s="1">
        <v>1.78</v>
      </c>
    </row>
    <row r="37" spans="2:8" x14ac:dyDescent="0.25">
      <c r="B37" s="16" t="s">
        <v>41</v>
      </c>
      <c r="C37" s="24" t="s">
        <v>42</v>
      </c>
      <c r="D37" s="17" t="s">
        <v>43</v>
      </c>
      <c r="E37" s="17" t="s">
        <v>44</v>
      </c>
      <c r="F37" s="20" t="s">
        <v>45</v>
      </c>
      <c r="G37" s="22" t="s">
        <v>46</v>
      </c>
    </row>
    <row r="38" spans="2:8" ht="15.75" thickBot="1" x14ac:dyDescent="0.3">
      <c r="B38" s="18">
        <v>0</v>
      </c>
      <c r="C38" s="94">
        <f>G34</f>
        <v>62</v>
      </c>
      <c r="D38" s="19">
        <f>G35+G36</f>
        <v>7.2</v>
      </c>
      <c r="E38" s="94">
        <f>D38*0.7431</f>
        <v>5.35032</v>
      </c>
      <c r="F38" s="21">
        <v>0</v>
      </c>
      <c r="G38" s="87">
        <f>SUM(G34:G36)+0.01</f>
        <v>69.210000000000008</v>
      </c>
    </row>
  </sheetData>
  <mergeCells count="6">
    <mergeCell ref="B32:G32"/>
    <mergeCell ref="B3:G3"/>
    <mergeCell ref="B4:G4"/>
    <mergeCell ref="B15:G15"/>
    <mergeCell ref="B16:G16"/>
    <mergeCell ref="B31:G31"/>
  </mergeCells>
  <pageMargins left="1.1811023622047245" right="0.78740157480314965" top="0.78740157480314965" bottom="0.78740157480314965" header="0" footer="0"/>
  <pageSetup paperSize="9" scale="75" orientation="portrait" verticalDpi="3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4"/>
  <dimension ref="B2:H39"/>
  <sheetViews>
    <sheetView view="pageBreakPreview" zoomScaleNormal="100" zoomScaleSheetLayoutView="100" workbookViewId="0">
      <selection activeCell="C35" sqref="C35"/>
    </sheetView>
  </sheetViews>
  <sheetFormatPr defaultRowHeight="15" x14ac:dyDescent="0.25"/>
  <cols>
    <col min="2" max="2" width="12.85546875" bestFit="1" customWidth="1"/>
    <col min="3" max="3" width="44.85546875" customWidth="1"/>
    <col min="4" max="4" width="12.7109375" bestFit="1" customWidth="1"/>
    <col min="5" max="5" width="10.140625" bestFit="1" customWidth="1"/>
    <col min="6" max="6" width="10.28515625" bestFit="1" customWidth="1"/>
    <col min="7" max="7" width="15.5703125" bestFit="1" customWidth="1"/>
    <col min="8" max="8" width="0" hidden="1" customWidth="1"/>
  </cols>
  <sheetData>
    <row r="2" spans="2:7" ht="15.75" hidden="1" thickBot="1" x14ac:dyDescent="0.3"/>
    <row r="3" spans="2:7" ht="16.5" hidden="1" thickBot="1" x14ac:dyDescent="0.3">
      <c r="B3" s="383" t="s">
        <v>60</v>
      </c>
      <c r="C3" s="384"/>
      <c r="D3" s="384"/>
      <c r="E3" s="384"/>
      <c r="F3" s="384"/>
      <c r="G3" s="385"/>
    </row>
    <row r="4" spans="2:7" ht="60" hidden="1" customHeight="1" thickBot="1" x14ac:dyDescent="0.3">
      <c r="B4" s="380" t="s">
        <v>78</v>
      </c>
      <c r="C4" s="381"/>
      <c r="D4" s="381"/>
      <c r="E4" s="381"/>
      <c r="F4" s="381"/>
      <c r="G4" s="382"/>
    </row>
    <row r="5" spans="2:7" ht="15.75" hidden="1" thickBot="1" x14ac:dyDescent="0.3">
      <c r="B5" s="12" t="s">
        <v>34</v>
      </c>
      <c r="C5" s="13" t="s">
        <v>28</v>
      </c>
      <c r="D5" s="71" t="s">
        <v>29</v>
      </c>
      <c r="E5" s="71" t="s">
        <v>30</v>
      </c>
      <c r="F5" s="71" t="s">
        <v>31</v>
      </c>
      <c r="G5" s="72" t="s">
        <v>32</v>
      </c>
    </row>
    <row r="6" spans="2:7" hidden="1" x14ac:dyDescent="0.25">
      <c r="B6" s="10" t="s">
        <v>0</v>
      </c>
      <c r="C6" s="11" t="s">
        <v>88</v>
      </c>
      <c r="D6" s="70" t="s">
        <v>29</v>
      </c>
      <c r="E6" s="8">
        <v>1</v>
      </c>
      <c r="F6" s="8">
        <v>107.5</v>
      </c>
      <c r="G6" s="9">
        <v>107.5</v>
      </c>
    </row>
    <row r="7" spans="2:7" hidden="1" x14ac:dyDescent="0.25">
      <c r="B7" s="6" t="s">
        <v>83</v>
      </c>
      <c r="C7" s="5" t="s">
        <v>79</v>
      </c>
      <c r="D7" s="15" t="s">
        <v>87</v>
      </c>
      <c r="E7" s="1">
        <v>0.25</v>
      </c>
      <c r="F7" s="1">
        <v>4.05</v>
      </c>
      <c r="G7" s="9">
        <f>ROUND(E7*F7,2)</f>
        <v>1.01</v>
      </c>
    </row>
    <row r="8" spans="2:7" hidden="1" x14ac:dyDescent="0.25">
      <c r="B8" s="7" t="s">
        <v>84</v>
      </c>
      <c r="C8" s="5" t="s">
        <v>80</v>
      </c>
      <c r="D8" s="15" t="s">
        <v>87</v>
      </c>
      <c r="E8" s="1">
        <v>0.5</v>
      </c>
      <c r="F8" s="1">
        <v>4.05</v>
      </c>
      <c r="G8" s="9">
        <f>ROUND(E8*F8,2)</f>
        <v>2.0299999999999998</v>
      </c>
    </row>
    <row r="9" spans="2:7" hidden="1" x14ac:dyDescent="0.25">
      <c r="B9" s="6" t="s">
        <v>85</v>
      </c>
      <c r="C9" s="5" t="s">
        <v>81</v>
      </c>
      <c r="D9" s="15" t="s">
        <v>87</v>
      </c>
      <c r="E9" s="1">
        <v>0.5</v>
      </c>
      <c r="F9" s="1">
        <v>1.83</v>
      </c>
      <c r="G9" s="9">
        <f>ROUND(E9*F9,2)</f>
        <v>0.92</v>
      </c>
    </row>
    <row r="10" spans="2:7" ht="15.75" hidden="1" thickBot="1" x14ac:dyDescent="0.3">
      <c r="B10" s="6" t="s">
        <v>86</v>
      </c>
      <c r="C10" s="4" t="s">
        <v>82</v>
      </c>
      <c r="D10" s="15" t="s">
        <v>87</v>
      </c>
      <c r="E10" s="1">
        <v>0.25</v>
      </c>
      <c r="F10" s="1">
        <v>2.0099999999999998</v>
      </c>
      <c r="G10" s="9">
        <f>ROUND(E10*F10,2)</f>
        <v>0.5</v>
      </c>
    </row>
    <row r="11" spans="2:7" hidden="1" x14ac:dyDescent="0.25">
      <c r="B11" s="16" t="s">
        <v>41</v>
      </c>
      <c r="C11" s="24" t="s">
        <v>42</v>
      </c>
      <c r="D11" s="17" t="s">
        <v>43</v>
      </c>
      <c r="E11" s="17" t="s">
        <v>44</v>
      </c>
      <c r="F11" s="20" t="s">
        <v>45</v>
      </c>
      <c r="G11" s="22" t="s">
        <v>46</v>
      </c>
    </row>
    <row r="12" spans="2:7" ht="15.75" hidden="1" thickBot="1" x14ac:dyDescent="0.3">
      <c r="B12" s="18">
        <v>0</v>
      </c>
      <c r="C12" s="19">
        <f>G6</f>
        <v>107.5</v>
      </c>
      <c r="D12" s="19">
        <f>SUM(G7:G8)</f>
        <v>3.04</v>
      </c>
      <c r="E12" s="19">
        <f>SUM(G9:G10)</f>
        <v>1.42</v>
      </c>
      <c r="F12" s="21">
        <v>0</v>
      </c>
      <c r="G12" s="23">
        <f>SUM(G6:G10)</f>
        <v>111.96000000000001</v>
      </c>
    </row>
    <row r="13" spans="2:7" hidden="1" x14ac:dyDescent="0.25"/>
    <row r="14" spans="2:7" ht="15.75" hidden="1" thickBot="1" x14ac:dyDescent="0.3"/>
    <row r="15" spans="2:7" ht="16.5" hidden="1" thickBot="1" x14ac:dyDescent="0.3">
      <c r="B15" s="383" t="s">
        <v>60</v>
      </c>
      <c r="C15" s="384"/>
      <c r="D15" s="384"/>
      <c r="E15" s="384"/>
      <c r="F15" s="384"/>
      <c r="G15" s="385"/>
    </row>
    <row r="16" spans="2:7" ht="61.5" hidden="1" customHeight="1" thickBot="1" x14ac:dyDescent="0.3">
      <c r="B16" s="380" t="s">
        <v>89</v>
      </c>
      <c r="C16" s="381"/>
      <c r="D16" s="381"/>
      <c r="E16" s="381"/>
      <c r="F16" s="381"/>
      <c r="G16" s="382"/>
    </row>
    <row r="17" spans="2:7" ht="15.75" hidden="1" thickBot="1" x14ac:dyDescent="0.3">
      <c r="B17" s="12" t="s">
        <v>34</v>
      </c>
      <c r="C17" s="13" t="s">
        <v>28</v>
      </c>
      <c r="D17" s="71" t="s">
        <v>29</v>
      </c>
      <c r="E17" s="71" t="s">
        <v>30</v>
      </c>
      <c r="F17" s="71" t="s">
        <v>31</v>
      </c>
      <c r="G17" s="72" t="s">
        <v>32</v>
      </c>
    </row>
    <row r="18" spans="2:7" ht="15.75" hidden="1" customHeight="1" x14ac:dyDescent="0.25">
      <c r="B18" s="10" t="s">
        <v>0</v>
      </c>
      <c r="C18" s="11" t="s">
        <v>90</v>
      </c>
      <c r="D18" s="70" t="s">
        <v>29</v>
      </c>
      <c r="E18" s="8">
        <v>1</v>
      </c>
      <c r="F18" s="8">
        <v>107.5</v>
      </c>
      <c r="G18" s="9">
        <v>302.57</v>
      </c>
    </row>
    <row r="19" spans="2:7" hidden="1" x14ac:dyDescent="0.25">
      <c r="B19" s="6" t="s">
        <v>83</v>
      </c>
      <c r="C19" s="5" t="s">
        <v>79</v>
      </c>
      <c r="D19" s="15" t="s">
        <v>87</v>
      </c>
      <c r="E19" s="1">
        <v>0.25</v>
      </c>
      <c r="F19" s="1">
        <v>4.05</v>
      </c>
      <c r="G19" s="9">
        <f>ROUND(E19*F19,2)</f>
        <v>1.01</v>
      </c>
    </row>
    <row r="20" spans="2:7" hidden="1" x14ac:dyDescent="0.25">
      <c r="B20" s="7" t="s">
        <v>84</v>
      </c>
      <c r="C20" s="5" t="s">
        <v>80</v>
      </c>
      <c r="D20" s="15" t="s">
        <v>87</v>
      </c>
      <c r="E20" s="1">
        <v>0.5</v>
      </c>
      <c r="F20" s="1">
        <v>4.05</v>
      </c>
      <c r="G20" s="9">
        <f>ROUND(E20*F20,2)</f>
        <v>2.0299999999999998</v>
      </c>
    </row>
    <row r="21" spans="2:7" hidden="1" x14ac:dyDescent="0.25">
      <c r="B21" s="6" t="s">
        <v>85</v>
      </c>
      <c r="C21" s="5" t="s">
        <v>81</v>
      </c>
      <c r="D21" s="15" t="s">
        <v>87</v>
      </c>
      <c r="E21" s="1">
        <v>0.5</v>
      </c>
      <c r="F21" s="1">
        <v>1.83</v>
      </c>
      <c r="G21" s="9">
        <f>ROUND(E21*F21,2)</f>
        <v>0.92</v>
      </c>
    </row>
    <row r="22" spans="2:7" ht="15.75" hidden="1" thickBot="1" x14ac:dyDescent="0.3">
      <c r="B22" s="6" t="s">
        <v>86</v>
      </c>
      <c r="C22" s="4" t="s">
        <v>82</v>
      </c>
      <c r="D22" s="15" t="s">
        <v>87</v>
      </c>
      <c r="E22" s="1">
        <v>0.25</v>
      </c>
      <c r="F22" s="1">
        <v>2.0099999999999998</v>
      </c>
      <c r="G22" s="9">
        <f>ROUND(E22*F22,2)</f>
        <v>0.5</v>
      </c>
    </row>
    <row r="23" spans="2:7" hidden="1" x14ac:dyDescent="0.25">
      <c r="B23" s="16" t="s">
        <v>41</v>
      </c>
      <c r="C23" s="24" t="s">
        <v>42</v>
      </c>
      <c r="D23" s="17" t="s">
        <v>43</v>
      </c>
      <c r="E23" s="17" t="s">
        <v>44</v>
      </c>
      <c r="F23" s="20" t="s">
        <v>45</v>
      </c>
      <c r="G23" s="22" t="s">
        <v>46</v>
      </c>
    </row>
    <row r="24" spans="2:7" ht="15.75" hidden="1" thickBot="1" x14ac:dyDescent="0.3">
      <c r="B24" s="18">
        <v>0</v>
      </c>
      <c r="C24" s="19">
        <f>G18</f>
        <v>302.57</v>
      </c>
      <c r="D24" s="19">
        <f>SUM(G19:G20)</f>
        <v>3.04</v>
      </c>
      <c r="E24" s="19">
        <f>SUM(G21:G22)</f>
        <v>1.42</v>
      </c>
      <c r="F24" s="21">
        <v>0</v>
      </c>
      <c r="G24" s="23">
        <f>SUM(G18:G22)</f>
        <v>307.02999999999997</v>
      </c>
    </row>
    <row r="25" spans="2:7" hidden="1" x14ac:dyDescent="0.25"/>
    <row r="26" spans="2:7" hidden="1" x14ac:dyDescent="0.25"/>
    <row r="27" spans="2:7" hidden="1" x14ac:dyDescent="0.25"/>
    <row r="30" spans="2:7" ht="15.75" thickBot="1" x14ac:dyDescent="0.3"/>
    <row r="31" spans="2:7" ht="16.5" thickBot="1" x14ac:dyDescent="0.3">
      <c r="B31" s="383" t="s">
        <v>60</v>
      </c>
      <c r="C31" s="384"/>
      <c r="D31" s="384"/>
      <c r="E31" s="384"/>
      <c r="F31" s="384"/>
      <c r="G31" s="385"/>
    </row>
    <row r="32" spans="2:7" ht="65.25" customHeight="1" thickBot="1" x14ac:dyDescent="0.3">
      <c r="B32" s="380" t="s">
        <v>162</v>
      </c>
      <c r="C32" s="381"/>
      <c r="D32" s="381"/>
      <c r="E32" s="381"/>
      <c r="F32" s="381"/>
      <c r="G32" s="382"/>
    </row>
    <row r="33" spans="2:8" ht="15.75" thickBot="1" x14ac:dyDescent="0.3">
      <c r="B33" s="12" t="s">
        <v>34</v>
      </c>
      <c r="C33" s="13" t="s">
        <v>28</v>
      </c>
      <c r="D33" s="71" t="s">
        <v>29</v>
      </c>
      <c r="E33" s="71" t="s">
        <v>30</v>
      </c>
      <c r="F33" s="71" t="s">
        <v>31</v>
      </c>
      <c r="G33" s="72" t="s">
        <v>32</v>
      </c>
    </row>
    <row r="34" spans="2:8" x14ac:dyDescent="0.25">
      <c r="B34" s="10" t="s">
        <v>190</v>
      </c>
      <c r="C34" s="11" t="s">
        <v>220</v>
      </c>
      <c r="D34" s="70" t="s">
        <v>29</v>
      </c>
      <c r="E34" s="61">
        <v>1</v>
      </c>
      <c r="F34" s="85">
        <v>345</v>
      </c>
      <c r="G34" s="86">
        <f>E34*F34</f>
        <v>345</v>
      </c>
      <c r="H34" s="8">
        <v>1.82</v>
      </c>
    </row>
    <row r="35" spans="2:8" x14ac:dyDescent="0.25">
      <c r="B35" s="7" t="s">
        <v>214</v>
      </c>
      <c r="C35" s="5" t="s">
        <v>221</v>
      </c>
      <c r="D35" s="15" t="s">
        <v>87</v>
      </c>
      <c r="E35" s="2">
        <v>1.837</v>
      </c>
      <c r="F35" s="85">
        <f>H35*0.97</f>
        <v>7.6435999999999993</v>
      </c>
      <c r="G35" s="86">
        <f>ROUND(E35*F35,2)</f>
        <v>14.04</v>
      </c>
      <c r="H35" s="1">
        <v>7.88</v>
      </c>
    </row>
    <row r="36" spans="2:8" x14ac:dyDescent="0.25">
      <c r="B36" s="93" t="s">
        <v>191</v>
      </c>
      <c r="C36" s="5" t="s">
        <v>193</v>
      </c>
      <c r="D36" s="15" t="s">
        <v>87</v>
      </c>
      <c r="E36" s="1">
        <v>0.15</v>
      </c>
      <c r="F36" s="61">
        <v>5.0599999999999996</v>
      </c>
      <c r="G36" s="9">
        <f>ROUND(E36*F36,2)</f>
        <v>0.76</v>
      </c>
      <c r="H36" s="1">
        <v>1.83</v>
      </c>
    </row>
    <row r="37" spans="2:8" ht="15.75" thickBot="1" x14ac:dyDescent="0.3">
      <c r="B37" s="92" t="s">
        <v>192</v>
      </c>
      <c r="C37" s="5" t="s">
        <v>194</v>
      </c>
      <c r="D37" s="15" t="s">
        <v>87</v>
      </c>
      <c r="E37" s="1">
        <v>1.91</v>
      </c>
      <c r="F37" s="61">
        <v>3.41</v>
      </c>
      <c r="G37" s="9">
        <f>ROUND(E37*F37,2)</f>
        <v>6.51</v>
      </c>
      <c r="H37" s="1">
        <v>1.78</v>
      </c>
    </row>
    <row r="38" spans="2:8" x14ac:dyDescent="0.25">
      <c r="B38" s="16" t="s">
        <v>41</v>
      </c>
      <c r="C38" s="24" t="s">
        <v>42</v>
      </c>
      <c r="D38" s="17" t="s">
        <v>43</v>
      </c>
      <c r="E38" s="17" t="s">
        <v>44</v>
      </c>
      <c r="F38" s="20" t="s">
        <v>45</v>
      </c>
      <c r="G38" s="22" t="s">
        <v>46</v>
      </c>
    </row>
    <row r="39" spans="2:8" ht="15.75" thickBot="1" x14ac:dyDescent="0.3">
      <c r="B39" s="18">
        <v>0</v>
      </c>
      <c r="C39" s="94">
        <f>G34</f>
        <v>345</v>
      </c>
      <c r="D39" s="94">
        <f>G35+G36+G37</f>
        <v>21.31</v>
      </c>
      <c r="E39" s="94">
        <f>D39*0.7431</f>
        <v>15.835460999999999</v>
      </c>
      <c r="F39" s="21">
        <v>0</v>
      </c>
      <c r="G39" s="87">
        <f>SUM(G34:G37)+0.01</f>
        <v>366.32</v>
      </c>
    </row>
  </sheetData>
  <mergeCells count="6">
    <mergeCell ref="B32:G32"/>
    <mergeCell ref="B3:G3"/>
    <mergeCell ref="B4:G4"/>
    <mergeCell ref="B15:G15"/>
    <mergeCell ref="B16:G16"/>
    <mergeCell ref="B31:G31"/>
  </mergeCells>
  <pageMargins left="1.1811023622047245" right="0.78740157480314965" top="0.78740157480314965" bottom="0.78740157480314965" header="0" footer="0"/>
  <pageSetup paperSize="9" scale="75" orientation="portrait"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5"/>
  <dimension ref="B2:H39"/>
  <sheetViews>
    <sheetView view="pageBreakPreview" zoomScaleNormal="100" zoomScaleSheetLayoutView="100" workbookViewId="0">
      <selection activeCell="B35" sqref="B35"/>
    </sheetView>
  </sheetViews>
  <sheetFormatPr defaultRowHeight="15" x14ac:dyDescent="0.25"/>
  <cols>
    <col min="2" max="2" width="12.85546875" bestFit="1" customWidth="1"/>
    <col min="3" max="3" width="44.85546875" customWidth="1"/>
    <col min="4" max="4" width="12.7109375" bestFit="1" customWidth="1"/>
    <col min="5" max="5" width="10.140625" bestFit="1" customWidth="1"/>
    <col min="6" max="6" width="10.28515625" bestFit="1" customWidth="1"/>
    <col min="7" max="7" width="15.5703125" bestFit="1" customWidth="1"/>
    <col min="8" max="8" width="0" hidden="1" customWidth="1"/>
  </cols>
  <sheetData>
    <row r="2" spans="2:7" ht="15.75" hidden="1" thickBot="1" x14ac:dyDescent="0.3"/>
    <row r="3" spans="2:7" ht="16.5" hidden="1" thickBot="1" x14ac:dyDescent="0.3">
      <c r="B3" s="383" t="s">
        <v>60</v>
      </c>
      <c r="C3" s="384"/>
      <c r="D3" s="384"/>
      <c r="E3" s="384"/>
      <c r="F3" s="384"/>
      <c r="G3" s="385"/>
    </row>
    <row r="4" spans="2:7" ht="60" hidden="1" customHeight="1" thickBot="1" x14ac:dyDescent="0.3">
      <c r="B4" s="380" t="s">
        <v>78</v>
      </c>
      <c r="C4" s="381"/>
      <c r="D4" s="381"/>
      <c r="E4" s="381"/>
      <c r="F4" s="381"/>
      <c r="G4" s="382"/>
    </row>
    <row r="5" spans="2:7" ht="15.75" hidden="1" thickBot="1" x14ac:dyDescent="0.3">
      <c r="B5" s="12" t="s">
        <v>34</v>
      </c>
      <c r="C5" s="13" t="s">
        <v>28</v>
      </c>
      <c r="D5" s="71" t="s">
        <v>29</v>
      </c>
      <c r="E5" s="71" t="s">
        <v>30</v>
      </c>
      <c r="F5" s="71" t="s">
        <v>31</v>
      </c>
      <c r="G5" s="72" t="s">
        <v>32</v>
      </c>
    </row>
    <row r="6" spans="2:7" hidden="1" x14ac:dyDescent="0.25">
      <c r="B6" s="10" t="s">
        <v>0</v>
      </c>
      <c r="C6" s="11" t="s">
        <v>88</v>
      </c>
      <c r="D6" s="70" t="s">
        <v>29</v>
      </c>
      <c r="E6" s="8">
        <v>1</v>
      </c>
      <c r="F6" s="8">
        <v>107.5</v>
      </c>
      <c r="G6" s="9">
        <v>107.5</v>
      </c>
    </row>
    <row r="7" spans="2:7" hidden="1" x14ac:dyDescent="0.25">
      <c r="B7" s="6" t="s">
        <v>83</v>
      </c>
      <c r="C7" s="5" t="s">
        <v>79</v>
      </c>
      <c r="D7" s="15" t="s">
        <v>87</v>
      </c>
      <c r="E7" s="1">
        <v>0.25</v>
      </c>
      <c r="F7" s="1">
        <v>4.05</v>
      </c>
      <c r="G7" s="9">
        <f>ROUND(E7*F7,2)</f>
        <v>1.01</v>
      </c>
    </row>
    <row r="8" spans="2:7" hidden="1" x14ac:dyDescent="0.25">
      <c r="B8" s="7" t="s">
        <v>84</v>
      </c>
      <c r="C8" s="5" t="s">
        <v>80</v>
      </c>
      <c r="D8" s="15" t="s">
        <v>87</v>
      </c>
      <c r="E8" s="1">
        <v>0.5</v>
      </c>
      <c r="F8" s="1">
        <v>4.05</v>
      </c>
      <c r="G8" s="9">
        <f>ROUND(E8*F8,2)</f>
        <v>2.0299999999999998</v>
      </c>
    </row>
    <row r="9" spans="2:7" hidden="1" x14ac:dyDescent="0.25">
      <c r="B9" s="6" t="s">
        <v>85</v>
      </c>
      <c r="C9" s="5" t="s">
        <v>81</v>
      </c>
      <c r="D9" s="15" t="s">
        <v>87</v>
      </c>
      <c r="E9" s="1">
        <v>0.5</v>
      </c>
      <c r="F9" s="1">
        <v>1.83</v>
      </c>
      <c r="G9" s="9">
        <f>ROUND(E9*F9,2)</f>
        <v>0.92</v>
      </c>
    </row>
    <row r="10" spans="2:7" ht="15.75" hidden="1" thickBot="1" x14ac:dyDescent="0.3">
      <c r="B10" s="6" t="s">
        <v>86</v>
      </c>
      <c r="C10" s="4" t="s">
        <v>82</v>
      </c>
      <c r="D10" s="15" t="s">
        <v>87</v>
      </c>
      <c r="E10" s="1">
        <v>0.25</v>
      </c>
      <c r="F10" s="1">
        <v>2.0099999999999998</v>
      </c>
      <c r="G10" s="9">
        <f>ROUND(E10*F10,2)</f>
        <v>0.5</v>
      </c>
    </row>
    <row r="11" spans="2:7" hidden="1" x14ac:dyDescent="0.25">
      <c r="B11" s="16" t="s">
        <v>41</v>
      </c>
      <c r="C11" s="24" t="s">
        <v>42</v>
      </c>
      <c r="D11" s="17" t="s">
        <v>43</v>
      </c>
      <c r="E11" s="17" t="s">
        <v>44</v>
      </c>
      <c r="F11" s="20" t="s">
        <v>45</v>
      </c>
      <c r="G11" s="22" t="s">
        <v>46</v>
      </c>
    </row>
    <row r="12" spans="2:7" ht="15.75" hidden="1" thickBot="1" x14ac:dyDescent="0.3">
      <c r="B12" s="18">
        <v>0</v>
      </c>
      <c r="C12" s="19">
        <f>G6</f>
        <v>107.5</v>
      </c>
      <c r="D12" s="19">
        <f>SUM(G7:G8)</f>
        <v>3.04</v>
      </c>
      <c r="E12" s="19">
        <f>SUM(G9:G10)</f>
        <v>1.42</v>
      </c>
      <c r="F12" s="21">
        <v>0</v>
      </c>
      <c r="G12" s="23">
        <f>SUM(G6:G10)</f>
        <v>111.96000000000001</v>
      </c>
    </row>
    <row r="13" spans="2:7" hidden="1" x14ac:dyDescent="0.25"/>
    <row r="14" spans="2:7" ht="15.75" hidden="1" thickBot="1" x14ac:dyDescent="0.3"/>
    <row r="15" spans="2:7" ht="16.5" hidden="1" thickBot="1" x14ac:dyDescent="0.3">
      <c r="B15" s="383" t="s">
        <v>60</v>
      </c>
      <c r="C15" s="384"/>
      <c r="D15" s="384"/>
      <c r="E15" s="384"/>
      <c r="F15" s="384"/>
      <c r="G15" s="385"/>
    </row>
    <row r="16" spans="2:7" ht="61.5" hidden="1" customHeight="1" thickBot="1" x14ac:dyDescent="0.3">
      <c r="B16" s="380" t="s">
        <v>89</v>
      </c>
      <c r="C16" s="381"/>
      <c r="D16" s="381"/>
      <c r="E16" s="381"/>
      <c r="F16" s="381"/>
      <c r="G16" s="382"/>
    </row>
    <row r="17" spans="2:7" ht="15.75" hidden="1" thickBot="1" x14ac:dyDescent="0.3">
      <c r="B17" s="12" t="s">
        <v>34</v>
      </c>
      <c r="C17" s="13" t="s">
        <v>28</v>
      </c>
      <c r="D17" s="71" t="s">
        <v>29</v>
      </c>
      <c r="E17" s="71" t="s">
        <v>30</v>
      </c>
      <c r="F17" s="71" t="s">
        <v>31</v>
      </c>
      <c r="G17" s="72" t="s">
        <v>32</v>
      </c>
    </row>
    <row r="18" spans="2:7" ht="15.75" hidden="1" customHeight="1" x14ac:dyDescent="0.25">
      <c r="B18" s="10" t="s">
        <v>0</v>
      </c>
      <c r="C18" s="11" t="s">
        <v>90</v>
      </c>
      <c r="D18" s="70" t="s">
        <v>29</v>
      </c>
      <c r="E18" s="8">
        <v>1</v>
      </c>
      <c r="F18" s="8">
        <v>107.5</v>
      </c>
      <c r="G18" s="9">
        <v>302.57</v>
      </c>
    </row>
    <row r="19" spans="2:7" hidden="1" x14ac:dyDescent="0.25">
      <c r="B19" s="6" t="s">
        <v>83</v>
      </c>
      <c r="C19" s="5" t="s">
        <v>79</v>
      </c>
      <c r="D19" s="15" t="s">
        <v>87</v>
      </c>
      <c r="E19" s="1">
        <v>0.25</v>
      </c>
      <c r="F19" s="1">
        <v>4.05</v>
      </c>
      <c r="G19" s="9">
        <f>ROUND(E19*F19,2)</f>
        <v>1.01</v>
      </c>
    </row>
    <row r="20" spans="2:7" hidden="1" x14ac:dyDescent="0.25">
      <c r="B20" s="7" t="s">
        <v>84</v>
      </c>
      <c r="C20" s="5" t="s">
        <v>80</v>
      </c>
      <c r="D20" s="15" t="s">
        <v>87</v>
      </c>
      <c r="E20" s="1">
        <v>0.5</v>
      </c>
      <c r="F20" s="1">
        <v>4.05</v>
      </c>
      <c r="G20" s="9">
        <f>ROUND(E20*F20,2)</f>
        <v>2.0299999999999998</v>
      </c>
    </row>
    <row r="21" spans="2:7" hidden="1" x14ac:dyDescent="0.25">
      <c r="B21" s="6" t="s">
        <v>85</v>
      </c>
      <c r="C21" s="5" t="s">
        <v>81</v>
      </c>
      <c r="D21" s="15" t="s">
        <v>87</v>
      </c>
      <c r="E21" s="1">
        <v>0.5</v>
      </c>
      <c r="F21" s="1">
        <v>1.83</v>
      </c>
      <c r="G21" s="9">
        <f>ROUND(E21*F21,2)</f>
        <v>0.92</v>
      </c>
    </row>
    <row r="22" spans="2:7" ht="15.75" hidden="1" thickBot="1" x14ac:dyDescent="0.3">
      <c r="B22" s="6" t="s">
        <v>86</v>
      </c>
      <c r="C22" s="4" t="s">
        <v>82</v>
      </c>
      <c r="D22" s="15" t="s">
        <v>87</v>
      </c>
      <c r="E22" s="1">
        <v>0.25</v>
      </c>
      <c r="F22" s="1">
        <v>2.0099999999999998</v>
      </c>
      <c r="G22" s="9">
        <f>ROUND(E22*F22,2)</f>
        <v>0.5</v>
      </c>
    </row>
    <row r="23" spans="2:7" hidden="1" x14ac:dyDescent="0.25">
      <c r="B23" s="16" t="s">
        <v>41</v>
      </c>
      <c r="C23" s="24" t="s">
        <v>42</v>
      </c>
      <c r="D23" s="17" t="s">
        <v>43</v>
      </c>
      <c r="E23" s="17" t="s">
        <v>44</v>
      </c>
      <c r="F23" s="20" t="s">
        <v>45</v>
      </c>
      <c r="G23" s="22" t="s">
        <v>46</v>
      </c>
    </row>
    <row r="24" spans="2:7" ht="15.75" hidden="1" thickBot="1" x14ac:dyDescent="0.3">
      <c r="B24" s="18">
        <v>0</v>
      </c>
      <c r="C24" s="19">
        <f>G18</f>
        <v>302.57</v>
      </c>
      <c r="D24" s="19">
        <f>SUM(G19:G20)</f>
        <v>3.04</v>
      </c>
      <c r="E24" s="19">
        <f>SUM(G21:G22)</f>
        <v>1.42</v>
      </c>
      <c r="F24" s="21">
        <v>0</v>
      </c>
      <c r="G24" s="23">
        <f>SUM(G18:G22)</f>
        <v>307.02999999999997</v>
      </c>
    </row>
    <row r="25" spans="2:7" hidden="1" x14ac:dyDescent="0.25"/>
    <row r="26" spans="2:7" hidden="1" x14ac:dyDescent="0.25"/>
    <row r="27" spans="2:7" hidden="1" x14ac:dyDescent="0.25"/>
    <row r="30" spans="2:7" ht="15.75" thickBot="1" x14ac:dyDescent="0.3"/>
    <row r="31" spans="2:7" ht="16.5" thickBot="1" x14ac:dyDescent="0.3">
      <c r="B31" s="383" t="s">
        <v>60</v>
      </c>
      <c r="C31" s="384"/>
      <c r="D31" s="384"/>
      <c r="E31" s="384"/>
      <c r="F31" s="384"/>
      <c r="G31" s="385"/>
    </row>
    <row r="32" spans="2:7" ht="65.25" customHeight="1" thickBot="1" x14ac:dyDescent="0.3">
      <c r="B32" s="380" t="s">
        <v>163</v>
      </c>
      <c r="C32" s="381"/>
      <c r="D32" s="381"/>
      <c r="E32" s="381"/>
      <c r="F32" s="381"/>
      <c r="G32" s="382"/>
    </row>
    <row r="33" spans="2:8" ht="15.75" thickBot="1" x14ac:dyDescent="0.3">
      <c r="B33" s="12" t="s">
        <v>34</v>
      </c>
      <c r="C33" s="13" t="s">
        <v>28</v>
      </c>
      <c r="D33" s="71" t="s">
        <v>29</v>
      </c>
      <c r="E33" s="71" t="s">
        <v>30</v>
      </c>
      <c r="F33" s="71" t="s">
        <v>31</v>
      </c>
      <c r="G33" s="72" t="s">
        <v>32</v>
      </c>
    </row>
    <row r="34" spans="2:8" x14ac:dyDescent="0.25">
      <c r="B34" s="10" t="s">
        <v>190</v>
      </c>
      <c r="C34" s="11" t="s">
        <v>222</v>
      </c>
      <c r="D34" s="70" t="s">
        <v>29</v>
      </c>
      <c r="E34" s="61">
        <v>1</v>
      </c>
      <c r="F34" s="85">
        <v>4</v>
      </c>
      <c r="G34" s="86">
        <f>E34*F34</f>
        <v>4</v>
      </c>
      <c r="H34" s="8">
        <v>1.82</v>
      </c>
    </row>
    <row r="35" spans="2:8" x14ac:dyDescent="0.25">
      <c r="B35" s="7" t="s">
        <v>196</v>
      </c>
      <c r="C35" s="5" t="s">
        <v>221</v>
      </c>
      <c r="D35" s="15" t="s">
        <v>87</v>
      </c>
      <c r="E35" s="2">
        <v>0.4</v>
      </c>
      <c r="F35" s="85">
        <f>H35*0.97</f>
        <v>7.6435999999999993</v>
      </c>
      <c r="G35" s="86">
        <f>ROUND(E35*F35,2)</f>
        <v>3.06</v>
      </c>
      <c r="H35" s="1">
        <v>7.88</v>
      </c>
    </row>
    <row r="36" spans="2:8" x14ac:dyDescent="0.25">
      <c r="B36" s="93" t="s">
        <v>191</v>
      </c>
      <c r="C36" s="5" t="s">
        <v>193</v>
      </c>
      <c r="D36" s="15" t="s">
        <v>87</v>
      </c>
      <c r="E36" s="1">
        <v>0.15</v>
      </c>
      <c r="F36" s="61">
        <v>5.0599999999999996</v>
      </c>
      <c r="G36" s="9">
        <f>ROUND(E36*F36,2)</f>
        <v>0.76</v>
      </c>
      <c r="H36" s="1">
        <v>1.83</v>
      </c>
    </row>
    <row r="37" spans="2:8" ht="15.75" thickBot="1" x14ac:dyDescent="0.3">
      <c r="B37" s="92" t="s">
        <v>192</v>
      </c>
      <c r="C37" s="5" t="s">
        <v>194</v>
      </c>
      <c r="D37" s="15" t="s">
        <v>87</v>
      </c>
      <c r="E37" s="1">
        <v>0.17430000000000001</v>
      </c>
      <c r="F37" s="61">
        <v>3.41</v>
      </c>
      <c r="G37" s="9">
        <f>ROUND(E37*F37,2)</f>
        <v>0.59</v>
      </c>
      <c r="H37" s="1">
        <v>1.78</v>
      </c>
    </row>
    <row r="38" spans="2:8" x14ac:dyDescent="0.25">
      <c r="B38" s="16" t="s">
        <v>41</v>
      </c>
      <c r="C38" s="24" t="s">
        <v>42</v>
      </c>
      <c r="D38" s="17" t="s">
        <v>43</v>
      </c>
      <c r="E38" s="17" t="s">
        <v>44</v>
      </c>
      <c r="F38" s="20" t="s">
        <v>45</v>
      </c>
      <c r="G38" s="22" t="s">
        <v>46</v>
      </c>
    </row>
    <row r="39" spans="2:8" ht="15.75" thickBot="1" x14ac:dyDescent="0.3">
      <c r="B39" s="18">
        <v>0</v>
      </c>
      <c r="C39" s="94">
        <f>G34</f>
        <v>4</v>
      </c>
      <c r="D39" s="94">
        <f>G35+G36+G37</f>
        <v>4.41</v>
      </c>
      <c r="E39" s="94">
        <f>D39*0.7431</f>
        <v>3.2770709999999998</v>
      </c>
      <c r="F39" s="21">
        <v>0</v>
      </c>
      <c r="G39" s="87">
        <f>SUM(G34:G37)+0.01</f>
        <v>8.42</v>
      </c>
    </row>
  </sheetData>
  <mergeCells count="6">
    <mergeCell ref="B32:G32"/>
    <mergeCell ref="B3:G3"/>
    <mergeCell ref="B4:G4"/>
    <mergeCell ref="B15:G15"/>
    <mergeCell ref="B16:G16"/>
    <mergeCell ref="B31:G31"/>
  </mergeCells>
  <pageMargins left="1.1811023622047245" right="0.78740157480314965" top="0.78740157480314965" bottom="0.78740157480314965" header="0" footer="0"/>
  <pageSetup paperSize="9" scale="75" orientation="portrait" verticalDpi="3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6"/>
  <dimension ref="B6:H15"/>
  <sheetViews>
    <sheetView view="pageBreakPreview" zoomScaleNormal="100" zoomScaleSheetLayoutView="100" workbookViewId="0">
      <selection activeCell="D12" sqref="D12"/>
    </sheetView>
  </sheetViews>
  <sheetFormatPr defaultRowHeight="15" x14ac:dyDescent="0.25"/>
  <cols>
    <col min="2" max="2" width="12.85546875" bestFit="1" customWidth="1"/>
    <col min="3" max="3" width="44.85546875" customWidth="1"/>
    <col min="4" max="4" width="12.7109375" bestFit="1" customWidth="1"/>
    <col min="5" max="5" width="10.140625" bestFit="1" customWidth="1"/>
    <col min="6" max="6" width="10.28515625" bestFit="1" customWidth="1"/>
    <col min="7" max="7" width="15.5703125" bestFit="1" customWidth="1"/>
    <col min="8" max="8" width="0" hidden="1" customWidth="1"/>
  </cols>
  <sheetData>
    <row r="6" spans="2:8" ht="15.75" thickBot="1" x14ac:dyDescent="0.3"/>
    <row r="7" spans="2:8" ht="16.5" thickBot="1" x14ac:dyDescent="0.3">
      <c r="B7" s="383" t="s">
        <v>60</v>
      </c>
      <c r="C7" s="384"/>
      <c r="D7" s="384"/>
      <c r="E7" s="384"/>
      <c r="F7" s="384"/>
      <c r="G7" s="385"/>
    </row>
    <row r="8" spans="2:8" ht="65.25" customHeight="1" thickBot="1" x14ac:dyDescent="0.3">
      <c r="B8" s="380" t="s">
        <v>164</v>
      </c>
      <c r="C8" s="381"/>
      <c r="D8" s="381"/>
      <c r="E8" s="381"/>
      <c r="F8" s="381"/>
      <c r="G8" s="382"/>
    </row>
    <row r="9" spans="2:8" ht="15.75" thickBot="1" x14ac:dyDescent="0.3">
      <c r="B9" s="12" t="s">
        <v>34</v>
      </c>
      <c r="C9" s="13" t="s">
        <v>28</v>
      </c>
      <c r="D9" s="71" t="s">
        <v>29</v>
      </c>
      <c r="E9" s="71" t="s">
        <v>30</v>
      </c>
      <c r="F9" s="71" t="s">
        <v>31</v>
      </c>
      <c r="G9" s="72" t="s">
        <v>32</v>
      </c>
    </row>
    <row r="10" spans="2:8" x14ac:dyDescent="0.25">
      <c r="B10" s="10" t="s">
        <v>190</v>
      </c>
      <c r="C10" s="11" t="s">
        <v>222</v>
      </c>
      <c r="D10" s="70" t="s">
        <v>29</v>
      </c>
      <c r="E10" s="61">
        <v>1</v>
      </c>
      <c r="F10" s="85">
        <v>4.6100000000000003</v>
      </c>
      <c r="G10" s="86">
        <f>E10*F10</f>
        <v>4.6100000000000003</v>
      </c>
      <c r="H10" s="8">
        <v>1.82</v>
      </c>
    </row>
    <row r="11" spans="2:8" x14ac:dyDescent="0.25">
      <c r="B11" s="7" t="s">
        <v>196</v>
      </c>
      <c r="C11" s="5" t="s">
        <v>221</v>
      </c>
      <c r="D11" s="15" t="s">
        <v>87</v>
      </c>
      <c r="E11" s="2">
        <v>0.4</v>
      </c>
      <c r="F11" s="85">
        <v>7.64</v>
      </c>
      <c r="G11" s="86">
        <f>ROUND(E11*F11,2)</f>
        <v>3.06</v>
      </c>
      <c r="H11" s="1">
        <v>0.25</v>
      </c>
    </row>
    <row r="12" spans="2:8" x14ac:dyDescent="0.25">
      <c r="B12" s="93" t="s">
        <v>191</v>
      </c>
      <c r="C12" s="5" t="s">
        <v>193</v>
      </c>
      <c r="D12" s="15" t="s">
        <v>87</v>
      </c>
      <c r="E12" s="1">
        <v>0.15</v>
      </c>
      <c r="F12" s="61">
        <v>5.0599999999999996</v>
      </c>
      <c r="G12" s="9">
        <f>ROUND(E12*F12,2)</f>
        <v>0.76</v>
      </c>
      <c r="H12" s="1">
        <v>44.95</v>
      </c>
    </row>
    <row r="13" spans="2:8" ht="15.75" thickBot="1" x14ac:dyDescent="0.3">
      <c r="B13" s="92" t="s">
        <v>192</v>
      </c>
      <c r="C13" s="5" t="s">
        <v>194</v>
      </c>
      <c r="D13" s="15" t="s">
        <v>87</v>
      </c>
      <c r="E13" s="1">
        <v>0.17430000000000001</v>
      </c>
      <c r="F13" s="61">
        <v>3.41</v>
      </c>
      <c r="G13" s="9">
        <f>ROUND(E13*F13,2)</f>
        <v>0.59</v>
      </c>
      <c r="H13" s="1">
        <v>33.18</v>
      </c>
    </row>
    <row r="14" spans="2:8" x14ac:dyDescent="0.25">
      <c r="B14" s="16" t="s">
        <v>41</v>
      </c>
      <c r="C14" s="24" t="s">
        <v>42</v>
      </c>
      <c r="D14" s="17" t="s">
        <v>43</v>
      </c>
      <c r="E14" s="17" t="s">
        <v>44</v>
      </c>
      <c r="F14" s="20" t="s">
        <v>45</v>
      </c>
      <c r="G14" s="22" t="s">
        <v>46</v>
      </c>
    </row>
    <row r="15" spans="2:8" ht="15.75" thickBot="1" x14ac:dyDescent="0.3">
      <c r="B15" s="18">
        <v>0</v>
      </c>
      <c r="C15" s="94">
        <f>G10</f>
        <v>4.6100000000000003</v>
      </c>
      <c r="D15" s="94">
        <f>G11+G12+G13</f>
        <v>4.41</v>
      </c>
      <c r="E15" s="94">
        <f>D15*0.7431</f>
        <v>3.2770709999999998</v>
      </c>
      <c r="F15" s="21">
        <v>0</v>
      </c>
      <c r="G15" s="87">
        <f>SUM(G10:G13)+0.01</f>
        <v>9.0299999999999994</v>
      </c>
    </row>
  </sheetData>
  <mergeCells count="2">
    <mergeCell ref="B7:G7"/>
    <mergeCell ref="B8:G8"/>
  </mergeCells>
  <pageMargins left="1.1811023622047245" right="0.78740157480314965" top="0.78740157480314965" bottom="0.78740157480314965" header="0" footer="0"/>
  <pageSetup paperSize="9" scale="75" orientation="portrait" verticalDpi="3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7"/>
  <dimension ref="B2:H39"/>
  <sheetViews>
    <sheetView view="pageBreakPreview" zoomScaleNormal="100" zoomScaleSheetLayoutView="100" workbookViewId="0">
      <selection activeCell="C37" sqref="C37"/>
    </sheetView>
  </sheetViews>
  <sheetFormatPr defaultRowHeight="15" x14ac:dyDescent="0.25"/>
  <cols>
    <col min="2" max="2" width="12.85546875" bestFit="1" customWidth="1"/>
    <col min="3" max="3" width="44.85546875" customWidth="1"/>
    <col min="4" max="4" width="12.7109375" bestFit="1" customWidth="1"/>
    <col min="5" max="5" width="10.140625" bestFit="1" customWidth="1"/>
    <col min="6" max="6" width="10.28515625" bestFit="1" customWidth="1"/>
    <col min="7" max="7" width="15.5703125" bestFit="1" customWidth="1"/>
    <col min="8" max="8" width="0" hidden="1" customWidth="1"/>
  </cols>
  <sheetData>
    <row r="2" spans="2:7" ht="15.75" hidden="1" thickBot="1" x14ac:dyDescent="0.3"/>
    <row r="3" spans="2:7" ht="16.5" hidden="1" thickBot="1" x14ac:dyDescent="0.3">
      <c r="B3" s="383" t="s">
        <v>60</v>
      </c>
      <c r="C3" s="384"/>
      <c r="D3" s="384"/>
      <c r="E3" s="384"/>
      <c r="F3" s="384"/>
      <c r="G3" s="385"/>
    </row>
    <row r="4" spans="2:7" ht="60" hidden="1" customHeight="1" thickBot="1" x14ac:dyDescent="0.3">
      <c r="B4" s="380" t="s">
        <v>78</v>
      </c>
      <c r="C4" s="381"/>
      <c r="D4" s="381"/>
      <c r="E4" s="381"/>
      <c r="F4" s="381"/>
      <c r="G4" s="382"/>
    </row>
    <row r="5" spans="2:7" ht="15.75" hidden="1" thickBot="1" x14ac:dyDescent="0.3">
      <c r="B5" s="12" t="s">
        <v>34</v>
      </c>
      <c r="C5" s="13" t="s">
        <v>28</v>
      </c>
      <c r="D5" s="71" t="s">
        <v>29</v>
      </c>
      <c r="E5" s="71" t="s">
        <v>30</v>
      </c>
      <c r="F5" s="71" t="s">
        <v>31</v>
      </c>
      <c r="G5" s="72" t="s">
        <v>32</v>
      </c>
    </row>
    <row r="6" spans="2:7" hidden="1" x14ac:dyDescent="0.25">
      <c r="B6" s="10" t="s">
        <v>0</v>
      </c>
      <c r="C6" s="11" t="s">
        <v>88</v>
      </c>
      <c r="D6" s="70" t="s">
        <v>29</v>
      </c>
      <c r="E6" s="8">
        <v>1</v>
      </c>
      <c r="F6" s="8">
        <v>107.5</v>
      </c>
      <c r="G6" s="9">
        <v>107.5</v>
      </c>
    </row>
    <row r="7" spans="2:7" hidden="1" x14ac:dyDescent="0.25">
      <c r="B7" s="6" t="s">
        <v>83</v>
      </c>
      <c r="C7" s="5" t="s">
        <v>79</v>
      </c>
      <c r="D7" s="15" t="s">
        <v>87</v>
      </c>
      <c r="E7" s="1">
        <v>0.25</v>
      </c>
      <c r="F7" s="1">
        <v>4.05</v>
      </c>
      <c r="G7" s="9">
        <f>ROUND(E7*F7,2)</f>
        <v>1.01</v>
      </c>
    </row>
    <row r="8" spans="2:7" hidden="1" x14ac:dyDescent="0.25">
      <c r="B8" s="7" t="s">
        <v>84</v>
      </c>
      <c r="C8" s="5" t="s">
        <v>80</v>
      </c>
      <c r="D8" s="15" t="s">
        <v>87</v>
      </c>
      <c r="E8" s="1">
        <v>0.5</v>
      </c>
      <c r="F8" s="1">
        <v>4.05</v>
      </c>
      <c r="G8" s="9">
        <f>ROUND(E8*F8,2)</f>
        <v>2.0299999999999998</v>
      </c>
    </row>
    <row r="9" spans="2:7" hidden="1" x14ac:dyDescent="0.25">
      <c r="B9" s="6" t="s">
        <v>85</v>
      </c>
      <c r="C9" s="5" t="s">
        <v>81</v>
      </c>
      <c r="D9" s="15" t="s">
        <v>87</v>
      </c>
      <c r="E9" s="1">
        <v>0.5</v>
      </c>
      <c r="F9" s="1">
        <v>1.83</v>
      </c>
      <c r="G9" s="9">
        <f>ROUND(E9*F9,2)</f>
        <v>0.92</v>
      </c>
    </row>
    <row r="10" spans="2:7" ht="15.75" hidden="1" thickBot="1" x14ac:dyDescent="0.3">
      <c r="B10" s="6" t="s">
        <v>86</v>
      </c>
      <c r="C10" s="4" t="s">
        <v>82</v>
      </c>
      <c r="D10" s="15" t="s">
        <v>87</v>
      </c>
      <c r="E10" s="1">
        <v>0.25</v>
      </c>
      <c r="F10" s="1">
        <v>2.0099999999999998</v>
      </c>
      <c r="G10" s="9">
        <f>ROUND(E10*F10,2)</f>
        <v>0.5</v>
      </c>
    </row>
    <row r="11" spans="2:7" hidden="1" x14ac:dyDescent="0.25">
      <c r="B11" s="16" t="s">
        <v>41</v>
      </c>
      <c r="C11" s="24" t="s">
        <v>42</v>
      </c>
      <c r="D11" s="17" t="s">
        <v>43</v>
      </c>
      <c r="E11" s="17" t="s">
        <v>44</v>
      </c>
      <c r="F11" s="20" t="s">
        <v>45</v>
      </c>
      <c r="G11" s="22" t="s">
        <v>46</v>
      </c>
    </row>
    <row r="12" spans="2:7" ht="15.75" hidden="1" thickBot="1" x14ac:dyDescent="0.3">
      <c r="B12" s="18">
        <v>0</v>
      </c>
      <c r="C12" s="19">
        <f>G6</f>
        <v>107.5</v>
      </c>
      <c r="D12" s="19">
        <f>SUM(G7:G8)</f>
        <v>3.04</v>
      </c>
      <c r="E12" s="19">
        <f>SUM(G9:G10)</f>
        <v>1.42</v>
      </c>
      <c r="F12" s="21">
        <v>0</v>
      </c>
      <c r="G12" s="23">
        <f>SUM(G6:G10)</f>
        <v>111.96000000000001</v>
      </c>
    </row>
    <row r="13" spans="2:7" hidden="1" x14ac:dyDescent="0.25"/>
    <row r="14" spans="2:7" ht="15.75" hidden="1" thickBot="1" x14ac:dyDescent="0.3"/>
    <row r="15" spans="2:7" ht="16.5" hidden="1" thickBot="1" x14ac:dyDescent="0.3">
      <c r="B15" s="383" t="s">
        <v>60</v>
      </c>
      <c r="C15" s="384"/>
      <c r="D15" s="384"/>
      <c r="E15" s="384"/>
      <c r="F15" s="384"/>
      <c r="G15" s="385"/>
    </row>
    <row r="16" spans="2:7" ht="61.5" hidden="1" customHeight="1" thickBot="1" x14ac:dyDescent="0.3">
      <c r="B16" s="380" t="s">
        <v>89</v>
      </c>
      <c r="C16" s="381"/>
      <c r="D16" s="381"/>
      <c r="E16" s="381"/>
      <c r="F16" s="381"/>
      <c r="G16" s="382"/>
    </row>
    <row r="17" spans="2:7" ht="15.75" hidden="1" thickBot="1" x14ac:dyDescent="0.3">
      <c r="B17" s="12" t="s">
        <v>34</v>
      </c>
      <c r="C17" s="13" t="s">
        <v>28</v>
      </c>
      <c r="D17" s="71" t="s">
        <v>29</v>
      </c>
      <c r="E17" s="71" t="s">
        <v>30</v>
      </c>
      <c r="F17" s="71" t="s">
        <v>31</v>
      </c>
      <c r="G17" s="72" t="s">
        <v>32</v>
      </c>
    </row>
    <row r="18" spans="2:7" ht="15.75" hidden="1" customHeight="1" x14ac:dyDescent="0.25">
      <c r="B18" s="10" t="s">
        <v>0</v>
      </c>
      <c r="C18" s="11" t="s">
        <v>90</v>
      </c>
      <c r="D18" s="70" t="s">
        <v>29</v>
      </c>
      <c r="E18" s="8">
        <v>1</v>
      </c>
      <c r="F18" s="8">
        <v>107.5</v>
      </c>
      <c r="G18" s="9">
        <v>302.57</v>
      </c>
    </row>
    <row r="19" spans="2:7" hidden="1" x14ac:dyDescent="0.25">
      <c r="B19" s="6" t="s">
        <v>83</v>
      </c>
      <c r="C19" s="5" t="s">
        <v>79</v>
      </c>
      <c r="D19" s="15" t="s">
        <v>87</v>
      </c>
      <c r="E19" s="1">
        <v>0.25</v>
      </c>
      <c r="F19" s="1">
        <v>4.05</v>
      </c>
      <c r="G19" s="9">
        <f>ROUND(E19*F19,2)</f>
        <v>1.01</v>
      </c>
    </row>
    <row r="20" spans="2:7" hidden="1" x14ac:dyDescent="0.25">
      <c r="B20" s="7" t="s">
        <v>84</v>
      </c>
      <c r="C20" s="5" t="s">
        <v>80</v>
      </c>
      <c r="D20" s="15" t="s">
        <v>87</v>
      </c>
      <c r="E20" s="1">
        <v>0.5</v>
      </c>
      <c r="F20" s="1">
        <v>4.05</v>
      </c>
      <c r="G20" s="9">
        <f>ROUND(E20*F20,2)</f>
        <v>2.0299999999999998</v>
      </c>
    </row>
    <row r="21" spans="2:7" hidden="1" x14ac:dyDescent="0.25">
      <c r="B21" s="6" t="s">
        <v>85</v>
      </c>
      <c r="C21" s="5" t="s">
        <v>81</v>
      </c>
      <c r="D21" s="15" t="s">
        <v>87</v>
      </c>
      <c r="E21" s="1">
        <v>0.5</v>
      </c>
      <c r="F21" s="1">
        <v>1.83</v>
      </c>
      <c r="G21" s="9">
        <f>ROUND(E21*F21,2)</f>
        <v>0.92</v>
      </c>
    </row>
    <row r="22" spans="2:7" ht="15.75" hidden="1" thickBot="1" x14ac:dyDescent="0.3">
      <c r="B22" s="6" t="s">
        <v>86</v>
      </c>
      <c r="C22" s="4" t="s">
        <v>82</v>
      </c>
      <c r="D22" s="15" t="s">
        <v>87</v>
      </c>
      <c r="E22" s="1">
        <v>0.25</v>
      </c>
      <c r="F22" s="1">
        <v>2.0099999999999998</v>
      </c>
      <c r="G22" s="9">
        <f>ROUND(E22*F22,2)</f>
        <v>0.5</v>
      </c>
    </row>
    <row r="23" spans="2:7" hidden="1" x14ac:dyDescent="0.25">
      <c r="B23" s="16" t="s">
        <v>41</v>
      </c>
      <c r="C23" s="24" t="s">
        <v>42</v>
      </c>
      <c r="D23" s="17" t="s">
        <v>43</v>
      </c>
      <c r="E23" s="17" t="s">
        <v>44</v>
      </c>
      <c r="F23" s="20" t="s">
        <v>45</v>
      </c>
      <c r="G23" s="22" t="s">
        <v>46</v>
      </c>
    </row>
    <row r="24" spans="2:7" ht="15.75" hidden="1" thickBot="1" x14ac:dyDescent="0.3">
      <c r="B24" s="18">
        <v>0</v>
      </c>
      <c r="C24" s="19">
        <f>G18</f>
        <v>302.57</v>
      </c>
      <c r="D24" s="19">
        <f>SUM(G19:G20)</f>
        <v>3.04</v>
      </c>
      <c r="E24" s="19">
        <f>SUM(G21:G22)</f>
        <v>1.42</v>
      </c>
      <c r="F24" s="21">
        <v>0</v>
      </c>
      <c r="G24" s="23">
        <f>SUM(G18:G22)</f>
        <v>307.02999999999997</v>
      </c>
    </row>
    <row r="25" spans="2:7" hidden="1" x14ac:dyDescent="0.25"/>
    <row r="26" spans="2:7" hidden="1" x14ac:dyDescent="0.25"/>
    <row r="27" spans="2:7" hidden="1" x14ac:dyDescent="0.25"/>
    <row r="30" spans="2:7" ht="15.75" thickBot="1" x14ac:dyDescent="0.3"/>
    <row r="31" spans="2:7" ht="16.5" thickBot="1" x14ac:dyDescent="0.3">
      <c r="B31" s="383" t="s">
        <v>60</v>
      </c>
      <c r="C31" s="384"/>
      <c r="D31" s="384"/>
      <c r="E31" s="384"/>
      <c r="F31" s="384"/>
      <c r="G31" s="385"/>
    </row>
    <row r="32" spans="2:7" ht="65.25" customHeight="1" thickBot="1" x14ac:dyDescent="0.3">
      <c r="B32" s="380" t="s">
        <v>165</v>
      </c>
      <c r="C32" s="381"/>
      <c r="D32" s="381"/>
      <c r="E32" s="381"/>
      <c r="F32" s="381"/>
      <c r="G32" s="382"/>
    </row>
    <row r="33" spans="2:8" ht="15.75" thickBot="1" x14ac:dyDescent="0.3">
      <c r="B33" s="12" t="s">
        <v>34</v>
      </c>
      <c r="C33" s="13" t="s">
        <v>28</v>
      </c>
      <c r="D33" s="71" t="s">
        <v>29</v>
      </c>
      <c r="E33" s="71" t="s">
        <v>30</v>
      </c>
      <c r="F33" s="71" t="s">
        <v>31</v>
      </c>
      <c r="G33" s="72" t="s">
        <v>32</v>
      </c>
    </row>
    <row r="34" spans="2:8" x14ac:dyDescent="0.25">
      <c r="B34" s="10" t="s">
        <v>190</v>
      </c>
      <c r="C34" s="11" t="s">
        <v>222</v>
      </c>
      <c r="D34" s="70" t="s">
        <v>29</v>
      </c>
      <c r="E34" s="61">
        <v>1</v>
      </c>
      <c r="F34" s="85">
        <v>53.22</v>
      </c>
      <c r="G34" s="86">
        <f>E34*F34</f>
        <v>53.22</v>
      </c>
      <c r="H34" s="8">
        <v>1.82</v>
      </c>
    </row>
    <row r="35" spans="2:8" x14ac:dyDescent="0.25">
      <c r="B35" s="7" t="s">
        <v>196</v>
      </c>
      <c r="C35" s="5" t="s">
        <v>221</v>
      </c>
      <c r="D35" s="15" t="s">
        <v>87</v>
      </c>
      <c r="E35" s="2">
        <v>2</v>
      </c>
      <c r="F35" s="85">
        <v>7.64</v>
      </c>
      <c r="G35" s="86">
        <f>ROUND(E35*F35,2)</f>
        <v>15.28</v>
      </c>
      <c r="H35" s="1">
        <v>0.25</v>
      </c>
    </row>
    <row r="36" spans="2:8" x14ac:dyDescent="0.25">
      <c r="B36" s="93" t="s">
        <v>191</v>
      </c>
      <c r="C36" s="5" t="s">
        <v>193</v>
      </c>
      <c r="D36" s="15" t="s">
        <v>87</v>
      </c>
      <c r="E36" s="1">
        <v>0.15</v>
      </c>
      <c r="F36" s="61">
        <v>5.0599999999999996</v>
      </c>
      <c r="G36" s="9">
        <f>ROUND(E36*F36,2)</f>
        <v>0.76</v>
      </c>
      <c r="H36" s="1">
        <v>44.95</v>
      </c>
    </row>
    <row r="37" spans="2:8" ht="15.75" thickBot="1" x14ac:dyDescent="0.3">
      <c r="B37" s="92" t="s">
        <v>192</v>
      </c>
      <c r="C37" s="5" t="s">
        <v>194</v>
      </c>
      <c r="D37" s="15" t="s">
        <v>87</v>
      </c>
      <c r="E37" s="1">
        <v>0.17430000000000001</v>
      </c>
      <c r="F37" s="61">
        <v>3.41</v>
      </c>
      <c r="G37" s="9">
        <f>ROUND(E37*F37,2)</f>
        <v>0.59</v>
      </c>
      <c r="H37" s="1">
        <v>33.18</v>
      </c>
    </row>
    <row r="38" spans="2:8" x14ac:dyDescent="0.25">
      <c r="B38" s="16" t="s">
        <v>41</v>
      </c>
      <c r="C38" s="24" t="s">
        <v>42</v>
      </c>
      <c r="D38" s="17" t="s">
        <v>43</v>
      </c>
      <c r="E38" s="17" t="s">
        <v>44</v>
      </c>
      <c r="F38" s="20" t="s">
        <v>45</v>
      </c>
      <c r="G38" s="22" t="s">
        <v>46</v>
      </c>
    </row>
    <row r="39" spans="2:8" ht="15.75" thickBot="1" x14ac:dyDescent="0.3">
      <c r="B39" s="18">
        <v>0</v>
      </c>
      <c r="C39" s="94">
        <f>G34</f>
        <v>53.22</v>
      </c>
      <c r="D39" s="94">
        <f>G35+G36+G37</f>
        <v>16.63</v>
      </c>
      <c r="E39" s="94">
        <f>D39*0.7431</f>
        <v>12.357752999999999</v>
      </c>
      <c r="F39" s="21">
        <v>0</v>
      </c>
      <c r="G39" s="87">
        <f>SUM(G34:G37)+0.01</f>
        <v>69.860000000000014</v>
      </c>
    </row>
  </sheetData>
  <mergeCells count="6">
    <mergeCell ref="B32:G32"/>
    <mergeCell ref="B3:G3"/>
    <mergeCell ref="B4:G4"/>
    <mergeCell ref="B15:G15"/>
    <mergeCell ref="B16:G16"/>
    <mergeCell ref="B31:G31"/>
  </mergeCells>
  <pageMargins left="1.1811023622047245" right="0.78740157480314965" top="0.78740157480314965" bottom="0.78740157480314965" header="0" footer="0"/>
  <pageSetup paperSize="9" scale="75" orientation="portrait" verticalDpi="30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8"/>
  <dimension ref="B2:H39"/>
  <sheetViews>
    <sheetView view="pageBreakPreview" zoomScaleNormal="100" zoomScaleSheetLayoutView="100" workbookViewId="0">
      <selection activeCell="C39" sqref="C39"/>
    </sheetView>
  </sheetViews>
  <sheetFormatPr defaultRowHeight="15" x14ac:dyDescent="0.25"/>
  <cols>
    <col min="2" max="2" width="12.85546875" bestFit="1" customWidth="1"/>
    <col min="3" max="3" width="44.85546875" customWidth="1"/>
    <col min="4" max="4" width="12.7109375" bestFit="1" customWidth="1"/>
    <col min="5" max="5" width="10.140625" bestFit="1" customWidth="1"/>
    <col min="6" max="6" width="10.28515625" bestFit="1" customWidth="1"/>
    <col min="7" max="7" width="15.5703125" bestFit="1" customWidth="1"/>
    <col min="8" max="8" width="0" hidden="1" customWidth="1"/>
  </cols>
  <sheetData>
    <row r="2" spans="2:7" ht="15.75" hidden="1" thickBot="1" x14ac:dyDescent="0.3"/>
    <row r="3" spans="2:7" ht="16.5" hidden="1" thickBot="1" x14ac:dyDescent="0.3">
      <c r="B3" s="383" t="s">
        <v>60</v>
      </c>
      <c r="C3" s="384"/>
      <c r="D3" s="384"/>
      <c r="E3" s="384"/>
      <c r="F3" s="384"/>
      <c r="G3" s="385"/>
    </row>
    <row r="4" spans="2:7" ht="60" hidden="1" customHeight="1" thickBot="1" x14ac:dyDescent="0.3">
      <c r="B4" s="380" t="s">
        <v>78</v>
      </c>
      <c r="C4" s="381"/>
      <c r="D4" s="381"/>
      <c r="E4" s="381"/>
      <c r="F4" s="381"/>
      <c r="G4" s="382"/>
    </row>
    <row r="5" spans="2:7" ht="15.75" hidden="1" thickBot="1" x14ac:dyDescent="0.3">
      <c r="B5" s="12" t="s">
        <v>34</v>
      </c>
      <c r="C5" s="13" t="s">
        <v>28</v>
      </c>
      <c r="D5" s="71" t="s">
        <v>29</v>
      </c>
      <c r="E5" s="71" t="s">
        <v>30</v>
      </c>
      <c r="F5" s="71" t="s">
        <v>31</v>
      </c>
      <c r="G5" s="72" t="s">
        <v>32</v>
      </c>
    </row>
    <row r="6" spans="2:7" hidden="1" x14ac:dyDescent="0.25">
      <c r="B6" s="10" t="s">
        <v>0</v>
      </c>
      <c r="C6" s="11" t="s">
        <v>88</v>
      </c>
      <c r="D6" s="70" t="s">
        <v>29</v>
      </c>
      <c r="E6" s="8">
        <v>1</v>
      </c>
      <c r="F6" s="8">
        <v>107.5</v>
      </c>
      <c r="G6" s="9">
        <v>107.5</v>
      </c>
    </row>
    <row r="7" spans="2:7" hidden="1" x14ac:dyDescent="0.25">
      <c r="B7" s="6" t="s">
        <v>83</v>
      </c>
      <c r="C7" s="5" t="s">
        <v>79</v>
      </c>
      <c r="D7" s="15" t="s">
        <v>87</v>
      </c>
      <c r="E7" s="1">
        <v>0.25</v>
      </c>
      <c r="F7" s="1">
        <v>4.05</v>
      </c>
      <c r="G7" s="9">
        <f>ROUND(E7*F7,2)</f>
        <v>1.01</v>
      </c>
    </row>
    <row r="8" spans="2:7" hidden="1" x14ac:dyDescent="0.25">
      <c r="B8" s="7" t="s">
        <v>84</v>
      </c>
      <c r="C8" s="5" t="s">
        <v>80</v>
      </c>
      <c r="D8" s="15" t="s">
        <v>87</v>
      </c>
      <c r="E8" s="1">
        <v>0.5</v>
      </c>
      <c r="F8" s="1">
        <v>4.05</v>
      </c>
      <c r="G8" s="9">
        <f>ROUND(E8*F8,2)</f>
        <v>2.0299999999999998</v>
      </c>
    </row>
    <row r="9" spans="2:7" hidden="1" x14ac:dyDescent="0.25">
      <c r="B9" s="6" t="s">
        <v>85</v>
      </c>
      <c r="C9" s="5" t="s">
        <v>81</v>
      </c>
      <c r="D9" s="15" t="s">
        <v>87</v>
      </c>
      <c r="E9" s="1">
        <v>0.5</v>
      </c>
      <c r="F9" s="1">
        <v>1.83</v>
      </c>
      <c r="G9" s="9">
        <f>ROUND(E9*F9,2)</f>
        <v>0.92</v>
      </c>
    </row>
    <row r="10" spans="2:7" ht="15.75" hidden="1" thickBot="1" x14ac:dyDescent="0.3">
      <c r="B10" s="6" t="s">
        <v>86</v>
      </c>
      <c r="C10" s="4" t="s">
        <v>82</v>
      </c>
      <c r="D10" s="15" t="s">
        <v>87</v>
      </c>
      <c r="E10" s="1">
        <v>0.25</v>
      </c>
      <c r="F10" s="1">
        <v>2.0099999999999998</v>
      </c>
      <c r="G10" s="9">
        <f>ROUND(E10*F10,2)</f>
        <v>0.5</v>
      </c>
    </row>
    <row r="11" spans="2:7" hidden="1" x14ac:dyDescent="0.25">
      <c r="B11" s="16" t="s">
        <v>41</v>
      </c>
      <c r="C11" s="24" t="s">
        <v>42</v>
      </c>
      <c r="D11" s="17" t="s">
        <v>43</v>
      </c>
      <c r="E11" s="17" t="s">
        <v>44</v>
      </c>
      <c r="F11" s="20" t="s">
        <v>45</v>
      </c>
      <c r="G11" s="22" t="s">
        <v>46</v>
      </c>
    </row>
    <row r="12" spans="2:7" ht="15.75" hidden="1" thickBot="1" x14ac:dyDescent="0.3">
      <c r="B12" s="18">
        <v>0</v>
      </c>
      <c r="C12" s="19">
        <f>G6</f>
        <v>107.5</v>
      </c>
      <c r="D12" s="19">
        <f>SUM(G7:G8)</f>
        <v>3.04</v>
      </c>
      <c r="E12" s="19">
        <f>SUM(G9:G10)</f>
        <v>1.42</v>
      </c>
      <c r="F12" s="21">
        <v>0</v>
      </c>
      <c r="G12" s="23">
        <f>SUM(G6:G10)</f>
        <v>111.96000000000001</v>
      </c>
    </row>
    <row r="13" spans="2:7" hidden="1" x14ac:dyDescent="0.25"/>
    <row r="14" spans="2:7" ht="15.75" hidden="1" thickBot="1" x14ac:dyDescent="0.3"/>
    <row r="15" spans="2:7" ht="16.5" hidden="1" thickBot="1" x14ac:dyDescent="0.3">
      <c r="B15" s="383" t="s">
        <v>60</v>
      </c>
      <c r="C15" s="384"/>
      <c r="D15" s="384"/>
      <c r="E15" s="384"/>
      <c r="F15" s="384"/>
      <c r="G15" s="385"/>
    </row>
    <row r="16" spans="2:7" ht="61.5" hidden="1" customHeight="1" thickBot="1" x14ac:dyDescent="0.3">
      <c r="B16" s="380" t="s">
        <v>89</v>
      </c>
      <c r="C16" s="381"/>
      <c r="D16" s="381"/>
      <c r="E16" s="381"/>
      <c r="F16" s="381"/>
      <c r="G16" s="382"/>
    </row>
    <row r="17" spans="2:7" ht="15.75" hidden="1" thickBot="1" x14ac:dyDescent="0.3">
      <c r="B17" s="12" t="s">
        <v>34</v>
      </c>
      <c r="C17" s="13" t="s">
        <v>28</v>
      </c>
      <c r="D17" s="71" t="s">
        <v>29</v>
      </c>
      <c r="E17" s="71" t="s">
        <v>30</v>
      </c>
      <c r="F17" s="71" t="s">
        <v>31</v>
      </c>
      <c r="G17" s="72" t="s">
        <v>32</v>
      </c>
    </row>
    <row r="18" spans="2:7" ht="15.75" hidden="1" customHeight="1" x14ac:dyDescent="0.25">
      <c r="B18" s="10" t="s">
        <v>0</v>
      </c>
      <c r="C18" s="11" t="s">
        <v>90</v>
      </c>
      <c r="D18" s="70" t="s">
        <v>29</v>
      </c>
      <c r="E18" s="8">
        <v>1</v>
      </c>
      <c r="F18" s="8">
        <v>107.5</v>
      </c>
      <c r="G18" s="9">
        <v>302.57</v>
      </c>
    </row>
    <row r="19" spans="2:7" hidden="1" x14ac:dyDescent="0.25">
      <c r="B19" s="6" t="s">
        <v>83</v>
      </c>
      <c r="C19" s="5" t="s">
        <v>79</v>
      </c>
      <c r="D19" s="15" t="s">
        <v>87</v>
      </c>
      <c r="E19" s="1">
        <v>0.25</v>
      </c>
      <c r="F19" s="1">
        <v>4.05</v>
      </c>
      <c r="G19" s="9">
        <f>ROUND(E19*F19,2)</f>
        <v>1.01</v>
      </c>
    </row>
    <row r="20" spans="2:7" hidden="1" x14ac:dyDescent="0.25">
      <c r="B20" s="7" t="s">
        <v>84</v>
      </c>
      <c r="C20" s="5" t="s">
        <v>80</v>
      </c>
      <c r="D20" s="15" t="s">
        <v>87</v>
      </c>
      <c r="E20" s="1">
        <v>0.5</v>
      </c>
      <c r="F20" s="1">
        <v>4.05</v>
      </c>
      <c r="G20" s="9">
        <f>ROUND(E20*F20,2)</f>
        <v>2.0299999999999998</v>
      </c>
    </row>
    <row r="21" spans="2:7" hidden="1" x14ac:dyDescent="0.25">
      <c r="B21" s="6" t="s">
        <v>85</v>
      </c>
      <c r="C21" s="5" t="s">
        <v>81</v>
      </c>
      <c r="D21" s="15" t="s">
        <v>87</v>
      </c>
      <c r="E21" s="1">
        <v>0.5</v>
      </c>
      <c r="F21" s="1">
        <v>1.83</v>
      </c>
      <c r="G21" s="9">
        <f>ROUND(E21*F21,2)</f>
        <v>0.92</v>
      </c>
    </row>
    <row r="22" spans="2:7" ht="15.75" hidden="1" thickBot="1" x14ac:dyDescent="0.3">
      <c r="B22" s="6" t="s">
        <v>86</v>
      </c>
      <c r="C22" s="4" t="s">
        <v>82</v>
      </c>
      <c r="D22" s="15" t="s">
        <v>87</v>
      </c>
      <c r="E22" s="1">
        <v>0.25</v>
      </c>
      <c r="F22" s="1">
        <v>2.0099999999999998</v>
      </c>
      <c r="G22" s="9">
        <f>ROUND(E22*F22,2)</f>
        <v>0.5</v>
      </c>
    </row>
    <row r="23" spans="2:7" hidden="1" x14ac:dyDescent="0.25">
      <c r="B23" s="16" t="s">
        <v>41</v>
      </c>
      <c r="C23" s="24" t="s">
        <v>42</v>
      </c>
      <c r="D23" s="17" t="s">
        <v>43</v>
      </c>
      <c r="E23" s="17" t="s">
        <v>44</v>
      </c>
      <c r="F23" s="20" t="s">
        <v>45</v>
      </c>
      <c r="G23" s="22" t="s">
        <v>46</v>
      </c>
    </row>
    <row r="24" spans="2:7" ht="15.75" hidden="1" thickBot="1" x14ac:dyDescent="0.3">
      <c r="B24" s="18">
        <v>0</v>
      </c>
      <c r="C24" s="19">
        <f>G18</f>
        <v>302.57</v>
      </c>
      <c r="D24" s="19">
        <f>SUM(G19:G20)</f>
        <v>3.04</v>
      </c>
      <c r="E24" s="19">
        <f>SUM(G21:G22)</f>
        <v>1.42</v>
      </c>
      <c r="F24" s="21">
        <v>0</v>
      </c>
      <c r="G24" s="23">
        <f>SUM(G18:G22)</f>
        <v>307.02999999999997</v>
      </c>
    </row>
    <row r="25" spans="2:7" hidden="1" x14ac:dyDescent="0.25"/>
    <row r="26" spans="2:7" hidden="1" x14ac:dyDescent="0.25"/>
    <row r="30" spans="2:7" ht="15.75" thickBot="1" x14ac:dyDescent="0.3"/>
    <row r="31" spans="2:7" ht="16.5" thickBot="1" x14ac:dyDescent="0.3">
      <c r="B31" s="383" t="s">
        <v>60</v>
      </c>
      <c r="C31" s="384"/>
      <c r="D31" s="384"/>
      <c r="E31" s="384"/>
      <c r="F31" s="384"/>
      <c r="G31" s="385"/>
    </row>
    <row r="32" spans="2:7" ht="65.25" customHeight="1" thickBot="1" x14ac:dyDescent="0.3">
      <c r="B32" s="380" t="s">
        <v>166</v>
      </c>
      <c r="C32" s="381"/>
      <c r="D32" s="381"/>
      <c r="E32" s="381"/>
      <c r="F32" s="381"/>
      <c r="G32" s="382"/>
    </row>
    <row r="33" spans="2:8" ht="15.75" thickBot="1" x14ac:dyDescent="0.3">
      <c r="B33" s="12" t="s">
        <v>34</v>
      </c>
      <c r="C33" s="13" t="s">
        <v>28</v>
      </c>
      <c r="D33" s="71" t="s">
        <v>29</v>
      </c>
      <c r="E33" s="71" t="s">
        <v>30</v>
      </c>
      <c r="F33" s="71" t="s">
        <v>31</v>
      </c>
      <c r="G33" s="72" t="s">
        <v>32</v>
      </c>
    </row>
    <row r="34" spans="2:8" x14ac:dyDescent="0.25">
      <c r="B34" s="10" t="s">
        <v>196</v>
      </c>
      <c r="C34" s="11" t="s">
        <v>223</v>
      </c>
      <c r="D34" s="70" t="s">
        <v>65</v>
      </c>
      <c r="E34" s="61">
        <v>1</v>
      </c>
      <c r="F34" s="85">
        <v>0.89</v>
      </c>
      <c r="G34" s="86">
        <f>E34*F34</f>
        <v>0.89</v>
      </c>
      <c r="H34" s="8">
        <v>1.82</v>
      </c>
    </row>
    <row r="35" spans="2:8" x14ac:dyDescent="0.25">
      <c r="B35" s="7" t="s">
        <v>190</v>
      </c>
      <c r="C35" s="5" t="s">
        <v>221</v>
      </c>
      <c r="D35" s="15" t="s">
        <v>87</v>
      </c>
      <c r="E35" s="2">
        <v>0.3</v>
      </c>
      <c r="F35" s="85">
        <f>H35*0.97</f>
        <v>7.6435999999999993</v>
      </c>
      <c r="G35" s="86">
        <f>ROUND(E35*F35,2)</f>
        <v>2.29</v>
      </c>
      <c r="H35" s="1">
        <v>7.88</v>
      </c>
    </row>
    <row r="36" spans="2:8" x14ac:dyDescent="0.25">
      <c r="B36" s="93" t="s">
        <v>191</v>
      </c>
      <c r="C36" s="5" t="s">
        <v>193</v>
      </c>
      <c r="D36" s="15" t="s">
        <v>87</v>
      </c>
      <c r="E36" s="1">
        <v>0.15</v>
      </c>
      <c r="F36" s="61">
        <v>5.0599999999999996</v>
      </c>
      <c r="G36" s="9">
        <f>ROUND(E36*F36,2)</f>
        <v>0.76</v>
      </c>
      <c r="H36" s="1">
        <v>1.83</v>
      </c>
    </row>
    <row r="37" spans="2:8" ht="15.75" thickBot="1" x14ac:dyDescent="0.3">
      <c r="B37" s="92" t="s">
        <v>192</v>
      </c>
      <c r="C37" s="5" t="s">
        <v>194</v>
      </c>
      <c r="D37" s="15" t="s">
        <v>87</v>
      </c>
      <c r="E37" s="1">
        <v>0.3</v>
      </c>
      <c r="F37" s="61">
        <v>3.41</v>
      </c>
      <c r="G37" s="9">
        <f>ROUND(E37*F37,2)</f>
        <v>1.02</v>
      </c>
      <c r="H37" s="1">
        <v>1.78</v>
      </c>
    </row>
    <row r="38" spans="2:8" x14ac:dyDescent="0.25">
      <c r="B38" s="16" t="s">
        <v>41</v>
      </c>
      <c r="C38" s="24" t="s">
        <v>42</v>
      </c>
      <c r="D38" s="17" t="s">
        <v>43</v>
      </c>
      <c r="E38" s="17" t="s">
        <v>44</v>
      </c>
      <c r="F38" s="20" t="s">
        <v>45</v>
      </c>
      <c r="G38" s="22" t="s">
        <v>46</v>
      </c>
    </row>
    <row r="39" spans="2:8" ht="15.75" thickBot="1" x14ac:dyDescent="0.3">
      <c r="B39" s="18">
        <v>0</v>
      </c>
      <c r="C39" s="94">
        <f>G34</f>
        <v>0.89</v>
      </c>
      <c r="D39" s="94">
        <f>G35+G36+G37</f>
        <v>4.07</v>
      </c>
      <c r="E39" s="94">
        <f>D39*0.7431</f>
        <v>3.0244170000000001</v>
      </c>
      <c r="F39" s="21">
        <v>0</v>
      </c>
      <c r="G39" s="87">
        <f>SUM(G34:G37)+0.01</f>
        <v>4.9700000000000006</v>
      </c>
    </row>
  </sheetData>
  <mergeCells count="6">
    <mergeCell ref="B32:G32"/>
    <mergeCell ref="B3:G3"/>
    <mergeCell ref="B4:G4"/>
    <mergeCell ref="B15:G15"/>
    <mergeCell ref="B16:G16"/>
    <mergeCell ref="B31:G31"/>
  </mergeCells>
  <pageMargins left="1.1811023622047245" right="0.78740157480314965" top="0.78740157480314965" bottom="0.78740157480314965" header="0" footer="0"/>
  <pageSetup paperSize="9" scale="75" orientation="portrait"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
  <dimension ref="A1:L143"/>
  <sheetViews>
    <sheetView view="pageBreakPreview" zoomScaleNormal="100" zoomScaleSheetLayoutView="100" workbookViewId="0">
      <selection activeCell="A2" sqref="A2"/>
    </sheetView>
  </sheetViews>
  <sheetFormatPr defaultRowHeight="15" x14ac:dyDescent="0.25"/>
  <cols>
    <col min="1" max="1" width="3.5703125" bestFit="1" customWidth="1"/>
    <col min="2" max="2" width="11.5703125" customWidth="1"/>
    <col min="11" max="11" width="9.140625" customWidth="1"/>
  </cols>
  <sheetData>
    <row r="1" spans="1:11" ht="15.75" thickBot="1" x14ac:dyDescent="0.3">
      <c r="A1" s="375" t="s">
        <v>573</v>
      </c>
      <c r="B1" s="376"/>
      <c r="C1" s="376"/>
      <c r="D1" s="376"/>
      <c r="E1" s="376"/>
      <c r="F1" s="376"/>
      <c r="G1" s="376"/>
      <c r="H1" s="376"/>
      <c r="I1" s="376"/>
      <c r="J1" s="376"/>
      <c r="K1" s="377"/>
    </row>
    <row r="2" spans="1:11" ht="15.75" thickBot="1" x14ac:dyDescent="0.3">
      <c r="A2" s="181"/>
      <c r="B2" s="182"/>
      <c r="C2" s="182"/>
      <c r="D2" s="182"/>
      <c r="E2" s="182"/>
      <c r="F2" s="182"/>
      <c r="G2" s="182"/>
      <c r="H2" s="182"/>
      <c r="I2" s="182"/>
      <c r="J2" s="182"/>
      <c r="K2" s="183"/>
    </row>
    <row r="3" spans="1:11" ht="15.75" thickBot="1" x14ac:dyDescent="0.3">
      <c r="A3" s="281" t="s">
        <v>9</v>
      </c>
      <c r="B3" s="282" t="str">
        <f>Planilha!C7</f>
        <v>SERVIÇOS PRELIMINARES</v>
      </c>
      <c r="C3" s="283"/>
      <c r="D3" s="283"/>
      <c r="E3" s="283"/>
      <c r="F3" s="283"/>
      <c r="G3" s="283"/>
      <c r="H3" s="283"/>
      <c r="I3" s="283"/>
      <c r="J3" s="283"/>
      <c r="K3" s="284"/>
    </row>
    <row r="4" spans="1:11" ht="30.75" customHeight="1" x14ac:dyDescent="0.25">
      <c r="A4" s="275" t="s">
        <v>10</v>
      </c>
      <c r="B4" s="378" t="str">
        <f>Planilha!C8</f>
        <v>DEMOLIÇÃO DE ALVENARIA DE BLOCO FURADO, DE FORMA MANUAL, SEM REAPROVEITAMENTO. AF_12/2017</v>
      </c>
      <c r="C4" s="378"/>
      <c r="D4" s="378"/>
      <c r="E4" s="378"/>
      <c r="F4" s="378"/>
      <c r="G4" s="378"/>
      <c r="H4" s="378"/>
      <c r="I4" s="378"/>
      <c r="J4" s="378"/>
      <c r="K4" s="379"/>
    </row>
    <row r="5" spans="1:11" x14ac:dyDescent="0.25">
      <c r="A5" s="181"/>
      <c r="B5" s="182" t="s">
        <v>251</v>
      </c>
      <c r="C5" s="182">
        <v>1.2</v>
      </c>
      <c r="D5" s="182"/>
      <c r="E5" s="182"/>
      <c r="F5" s="182"/>
      <c r="G5" s="182"/>
      <c r="H5" s="182"/>
      <c r="I5" s="182"/>
      <c r="J5" s="182"/>
      <c r="K5" s="183"/>
    </row>
    <row r="6" spans="1:11" x14ac:dyDescent="0.25">
      <c r="A6" s="181"/>
      <c r="B6" s="182" t="s">
        <v>252</v>
      </c>
      <c r="C6" s="182">
        <v>2.1</v>
      </c>
      <c r="D6" s="182"/>
      <c r="E6" s="182"/>
      <c r="F6" s="182"/>
      <c r="G6" s="182"/>
      <c r="H6" s="182"/>
      <c r="I6" s="182"/>
      <c r="J6" s="182"/>
      <c r="K6" s="183"/>
    </row>
    <row r="7" spans="1:11" x14ac:dyDescent="0.25">
      <c r="A7" s="181"/>
      <c r="B7" s="182" t="s">
        <v>253</v>
      </c>
      <c r="C7" s="182">
        <v>0.15</v>
      </c>
      <c r="D7" s="182"/>
      <c r="E7" s="182"/>
      <c r="F7" s="182"/>
      <c r="G7" s="182"/>
      <c r="H7" s="182"/>
      <c r="I7" s="182"/>
      <c r="J7" s="182"/>
      <c r="K7" s="183"/>
    </row>
    <row r="8" spans="1:11" x14ac:dyDescent="0.25">
      <c r="A8" s="181"/>
      <c r="B8" s="182"/>
      <c r="C8" s="182"/>
      <c r="D8" s="182"/>
      <c r="E8" s="182"/>
      <c r="F8" s="182"/>
      <c r="G8" s="182"/>
      <c r="H8" s="182"/>
      <c r="I8" s="182"/>
      <c r="J8" s="182"/>
      <c r="K8" s="183"/>
    </row>
    <row r="9" spans="1:11" x14ac:dyDescent="0.25">
      <c r="A9" s="181"/>
      <c r="B9" s="182" t="s">
        <v>254</v>
      </c>
      <c r="C9" s="182">
        <f>C5*C6*C7</f>
        <v>0.378</v>
      </c>
      <c r="D9" s="182"/>
      <c r="E9" s="182"/>
      <c r="F9" s="182"/>
      <c r="G9" s="182"/>
      <c r="H9" s="182"/>
      <c r="I9" s="182"/>
      <c r="J9" s="182"/>
      <c r="K9" s="183"/>
    </row>
    <row r="10" spans="1:11" x14ac:dyDescent="0.25">
      <c r="A10" s="181"/>
      <c r="B10" s="270" t="s">
        <v>255</v>
      </c>
      <c r="C10" s="270"/>
      <c r="D10" s="270"/>
      <c r="E10" s="270"/>
      <c r="F10" s="270"/>
      <c r="G10" s="270"/>
      <c r="H10" s="270"/>
      <c r="I10" s="270"/>
      <c r="J10" s="270"/>
      <c r="K10" s="271">
        <f>ROUND(C9,2)</f>
        <v>0.38</v>
      </c>
    </row>
    <row r="11" spans="1:11" x14ac:dyDescent="0.25">
      <c r="A11" s="181"/>
      <c r="B11" s="182"/>
      <c r="C11" s="182"/>
      <c r="D11" s="182"/>
      <c r="E11" s="182"/>
      <c r="F11" s="182"/>
      <c r="G11" s="182"/>
      <c r="H11" s="182"/>
      <c r="I11" s="182"/>
      <c r="J11" s="182"/>
      <c r="K11" s="183"/>
    </row>
    <row r="12" spans="1:11" x14ac:dyDescent="0.25">
      <c r="A12" s="275" t="s">
        <v>392</v>
      </c>
      <c r="B12" s="276" t="str">
        <f>Planilha!C9</f>
        <v>RETIRADA, CORTE E RECOLOCAÇÃO DE GRADIL METÁLICO</v>
      </c>
      <c r="C12" s="270"/>
      <c r="D12" s="270"/>
      <c r="E12" s="270"/>
      <c r="F12" s="270"/>
      <c r="G12" s="270"/>
      <c r="H12" s="270"/>
      <c r="I12" s="270"/>
      <c r="J12" s="270"/>
      <c r="K12" s="271"/>
    </row>
    <row r="13" spans="1:11" x14ac:dyDescent="0.25">
      <c r="A13" s="181"/>
      <c r="B13" s="182"/>
      <c r="C13" s="182"/>
      <c r="D13" s="182"/>
      <c r="E13" s="182"/>
      <c r="F13" s="182" t="s">
        <v>256</v>
      </c>
      <c r="G13" s="182" t="s">
        <v>257</v>
      </c>
      <c r="H13" s="182"/>
      <c r="I13" s="182"/>
      <c r="J13" s="182"/>
      <c r="K13" s="183" t="s">
        <v>277</v>
      </c>
    </row>
    <row r="14" spans="1:11" x14ac:dyDescent="0.25">
      <c r="A14" s="181"/>
      <c r="B14" s="182"/>
      <c r="C14" s="182"/>
      <c r="D14" s="182"/>
      <c r="E14" s="182"/>
      <c r="F14" s="182">
        <v>3.65</v>
      </c>
      <c r="G14" s="182">
        <v>1.2</v>
      </c>
      <c r="H14" s="182"/>
      <c r="I14" s="182"/>
      <c r="J14" s="182"/>
      <c r="K14" s="183">
        <f>F14*G14</f>
        <v>4.38</v>
      </c>
    </row>
    <row r="15" spans="1:11" x14ac:dyDescent="0.25">
      <c r="A15" s="181"/>
      <c r="B15" s="182"/>
      <c r="C15" s="182"/>
      <c r="D15" s="182"/>
      <c r="E15" s="182"/>
      <c r="F15" s="182"/>
      <c r="G15" s="182"/>
      <c r="H15" s="182"/>
      <c r="I15" s="182"/>
      <c r="J15" s="182"/>
      <c r="K15" s="183"/>
    </row>
    <row r="16" spans="1:11" x14ac:dyDescent="0.25">
      <c r="A16" s="181"/>
      <c r="B16" s="270" t="s">
        <v>255</v>
      </c>
      <c r="C16" s="270"/>
      <c r="D16" s="270"/>
      <c r="E16" s="270"/>
      <c r="F16" s="270"/>
      <c r="G16" s="270"/>
      <c r="H16" s="270"/>
      <c r="I16" s="270"/>
      <c r="J16" s="270"/>
      <c r="K16" s="271">
        <f>K14</f>
        <v>4.38</v>
      </c>
    </row>
    <row r="17" spans="1:11" ht="15.75" thickBot="1" x14ac:dyDescent="0.3">
      <c r="A17" s="181"/>
      <c r="B17" s="182"/>
      <c r="C17" s="182"/>
      <c r="D17" s="182"/>
      <c r="E17" s="182"/>
      <c r="F17" s="182"/>
      <c r="G17" s="182"/>
      <c r="H17" s="182"/>
      <c r="I17" s="182"/>
      <c r="J17" s="182"/>
      <c r="K17" s="183"/>
    </row>
    <row r="18" spans="1:11" ht="15.75" thickBot="1" x14ac:dyDescent="0.3">
      <c r="A18" s="281" t="s">
        <v>12</v>
      </c>
      <c r="B18" s="282" t="str">
        <f>Planilha!C10</f>
        <v>ALVENARIAS DE VEDAÇÃO E DIVISÓRIAS</v>
      </c>
      <c r="C18" s="283"/>
      <c r="D18" s="283"/>
      <c r="E18" s="283"/>
      <c r="F18" s="283"/>
      <c r="G18" s="283"/>
      <c r="H18" s="283"/>
      <c r="I18" s="283"/>
      <c r="J18" s="283"/>
      <c r="K18" s="284"/>
    </row>
    <row r="19" spans="1:11" ht="43.5" customHeight="1" x14ac:dyDescent="0.25">
      <c r="A19" s="275" t="s">
        <v>13</v>
      </c>
      <c r="B19" s="378" t="str">
        <f>Planilha!C11</f>
        <v>ALVENARIA DE VEDAÇÃO DE BLOCOS CERÂMICOS FURADOS NA HORIZONTAL DE 9X19X19CM (ESPESSURA 9CM) DE PAREDES COM ÁREA LÍQUIDA MENOR QUE 6M² COM VÃOS E ARGAMASSA DE ASSENTAMENTO COM PREPARO EM BETONEIRA. AF_06/2014</v>
      </c>
      <c r="C19" s="378"/>
      <c r="D19" s="378"/>
      <c r="E19" s="378"/>
      <c r="F19" s="378"/>
      <c r="G19" s="378"/>
      <c r="H19" s="378"/>
      <c r="I19" s="378"/>
      <c r="J19" s="378"/>
      <c r="K19" s="379"/>
    </row>
    <row r="20" spans="1:11" x14ac:dyDescent="0.25">
      <c r="A20" s="181"/>
      <c r="B20" s="182"/>
      <c r="C20" s="182"/>
      <c r="D20" s="182"/>
      <c r="E20" s="182"/>
      <c r="F20" s="182" t="s">
        <v>256</v>
      </c>
      <c r="G20" s="182" t="s">
        <v>257</v>
      </c>
      <c r="H20" s="182"/>
      <c r="I20" s="182"/>
      <c r="J20" s="182"/>
      <c r="K20" s="183" t="s">
        <v>277</v>
      </c>
    </row>
    <row r="21" spans="1:11" x14ac:dyDescent="0.25">
      <c r="A21" s="181"/>
      <c r="B21" s="182"/>
      <c r="C21" s="182"/>
      <c r="D21" s="182"/>
      <c r="E21" s="182"/>
      <c r="F21" s="182">
        <v>1.25</v>
      </c>
      <c r="G21" s="182">
        <v>2.35</v>
      </c>
      <c r="H21" s="182"/>
      <c r="I21" s="182"/>
      <c r="J21" s="182"/>
      <c r="K21" s="183">
        <f>ROUND(F21*G21,2)</f>
        <v>2.94</v>
      </c>
    </row>
    <row r="22" spans="1:11" x14ac:dyDescent="0.25">
      <c r="A22" s="181"/>
      <c r="B22" s="182"/>
      <c r="C22" s="182"/>
      <c r="D22" s="182"/>
      <c r="E22" s="182"/>
      <c r="F22" s="182"/>
      <c r="G22" s="182"/>
      <c r="H22" s="182"/>
      <c r="I22" s="182"/>
      <c r="J22" s="182"/>
      <c r="K22" s="183"/>
    </row>
    <row r="23" spans="1:11" x14ac:dyDescent="0.25">
      <c r="A23" s="181"/>
      <c r="B23" s="270" t="s">
        <v>255</v>
      </c>
      <c r="C23" s="270"/>
      <c r="D23" s="270"/>
      <c r="E23" s="270"/>
      <c r="F23" s="270"/>
      <c r="G23" s="270"/>
      <c r="H23" s="270"/>
      <c r="I23" s="270"/>
      <c r="J23" s="270"/>
      <c r="K23" s="271">
        <f>K21</f>
        <v>2.94</v>
      </c>
    </row>
    <row r="24" spans="1:11" x14ac:dyDescent="0.25">
      <c r="A24" s="181"/>
      <c r="B24" s="184"/>
      <c r="C24" s="182"/>
      <c r="D24" s="182"/>
      <c r="E24" s="182"/>
      <c r="F24" s="182"/>
      <c r="G24" s="182"/>
      <c r="H24" s="182"/>
      <c r="I24" s="182"/>
      <c r="J24" s="182"/>
      <c r="K24" s="183"/>
    </row>
    <row r="25" spans="1:11" ht="46.5" customHeight="1" x14ac:dyDescent="0.25">
      <c r="A25" s="275" t="s">
        <v>16</v>
      </c>
      <c r="B25" s="378" t="str">
        <f>Planilha!C12</f>
        <v>Parede de gesso acartonado, Dry-Wall d 100/75/60 2 st 12,5mm sistemas lafarge gypsum (ou similar) - com Isolamento acústico c/ painel em lã de vidro e = 50mm (isover-santa marina ref psi - 30/50mm ou similar),preenchimento com lã mineral de 50 mm de espessura.</v>
      </c>
      <c r="C25" s="378"/>
      <c r="D25" s="378"/>
      <c r="E25" s="378"/>
      <c r="F25" s="378"/>
      <c r="G25" s="378"/>
      <c r="H25" s="378"/>
      <c r="I25" s="378"/>
      <c r="J25" s="378"/>
      <c r="K25" s="379"/>
    </row>
    <row r="26" spans="1:11" x14ac:dyDescent="0.25">
      <c r="A26" s="181"/>
      <c r="B26" s="184"/>
      <c r="C26" s="182"/>
      <c r="D26" s="182"/>
      <c r="E26" s="182"/>
      <c r="F26" s="182"/>
      <c r="G26" s="182"/>
      <c r="H26" s="182"/>
      <c r="I26" s="182"/>
      <c r="J26" s="182"/>
      <c r="K26" s="183"/>
    </row>
    <row r="27" spans="1:11" x14ac:dyDescent="0.25">
      <c r="A27" s="181"/>
      <c r="B27" s="184"/>
      <c r="C27" s="182"/>
      <c r="D27" s="182"/>
      <c r="E27" s="182"/>
      <c r="F27" s="182" t="s">
        <v>256</v>
      </c>
      <c r="G27" s="182" t="s">
        <v>257</v>
      </c>
      <c r="H27" s="182"/>
      <c r="I27" s="182"/>
      <c r="J27" s="182"/>
      <c r="K27" s="183" t="s">
        <v>277</v>
      </c>
    </row>
    <row r="28" spans="1:11" x14ac:dyDescent="0.25">
      <c r="A28" s="181"/>
      <c r="B28" s="184"/>
      <c r="C28" s="182"/>
      <c r="D28" s="182"/>
      <c r="E28" s="182"/>
      <c r="F28" s="182">
        <v>5.65</v>
      </c>
      <c r="G28" s="182">
        <v>3.4</v>
      </c>
      <c r="H28" s="182"/>
      <c r="I28" s="182"/>
      <c r="J28" s="182"/>
      <c r="K28" s="183">
        <f>F28*G28</f>
        <v>19.21</v>
      </c>
    </row>
    <row r="29" spans="1:11" x14ac:dyDescent="0.25">
      <c r="A29" s="181"/>
      <c r="B29" s="184"/>
      <c r="C29" s="182"/>
      <c r="D29" s="182"/>
      <c r="E29" s="182"/>
      <c r="F29" s="182"/>
      <c r="G29" s="182"/>
      <c r="H29" s="182"/>
      <c r="I29" s="182"/>
      <c r="J29" s="182"/>
      <c r="K29" s="183"/>
    </row>
    <row r="30" spans="1:11" x14ac:dyDescent="0.25">
      <c r="A30" s="181"/>
      <c r="B30" s="270" t="s">
        <v>255</v>
      </c>
      <c r="C30" s="270"/>
      <c r="D30" s="270"/>
      <c r="E30" s="270"/>
      <c r="F30" s="270"/>
      <c r="G30" s="270"/>
      <c r="H30" s="270"/>
      <c r="I30" s="270"/>
      <c r="J30" s="270"/>
      <c r="K30" s="271">
        <f>K28</f>
        <v>19.21</v>
      </c>
    </row>
    <row r="31" spans="1:11" x14ac:dyDescent="0.25">
      <c r="A31" s="181"/>
      <c r="B31" s="184"/>
      <c r="C31" s="182"/>
      <c r="D31" s="182"/>
      <c r="E31" s="182"/>
      <c r="F31" s="182"/>
      <c r="G31" s="182"/>
      <c r="H31" s="182"/>
      <c r="I31" s="182"/>
      <c r="J31" s="182"/>
      <c r="K31" s="183"/>
    </row>
    <row r="32" spans="1:11" ht="32.25" customHeight="1" x14ac:dyDescent="0.25">
      <c r="A32" s="275" t="s">
        <v>314</v>
      </c>
      <c r="B32" s="378" t="str">
        <f>Planilha!C13</f>
        <v>PAREDE COM PLACAS DE GESSO ACARTONADO (DRYWALL), PARA USO INTERNO, COM UMA FACE SIMPLES E ESTRUTURA METÁLICA COM GUIAS SIMPLES, SEM VÃOS. AF_06/2017_P</v>
      </c>
      <c r="C32" s="378"/>
      <c r="D32" s="378"/>
      <c r="E32" s="378"/>
      <c r="F32" s="378"/>
      <c r="G32" s="378"/>
      <c r="H32" s="378"/>
      <c r="I32" s="378"/>
      <c r="J32" s="378"/>
      <c r="K32" s="379"/>
    </row>
    <row r="33" spans="1:11" x14ac:dyDescent="0.25">
      <c r="A33" s="181"/>
      <c r="B33" s="184"/>
      <c r="C33" s="182"/>
      <c r="D33" s="182"/>
      <c r="E33" s="182"/>
      <c r="F33" s="182"/>
      <c r="G33" s="182"/>
      <c r="H33" s="182"/>
      <c r="I33" s="182"/>
      <c r="J33" s="182"/>
      <c r="K33" s="183"/>
    </row>
    <row r="34" spans="1:11" x14ac:dyDescent="0.25">
      <c r="A34" s="181"/>
      <c r="B34" s="184"/>
      <c r="C34" s="182"/>
      <c r="D34" s="182"/>
      <c r="E34" s="182"/>
      <c r="F34" s="182" t="s">
        <v>256</v>
      </c>
      <c r="G34" s="182" t="s">
        <v>257</v>
      </c>
      <c r="H34" s="182" t="s">
        <v>268</v>
      </c>
      <c r="I34" s="182"/>
      <c r="J34" s="182"/>
      <c r="K34" s="183" t="s">
        <v>277</v>
      </c>
    </row>
    <row r="35" spans="1:11" x14ac:dyDescent="0.25">
      <c r="A35" s="181"/>
      <c r="B35" s="184"/>
      <c r="C35" s="182"/>
      <c r="D35" s="182"/>
      <c r="E35" s="182"/>
      <c r="F35" s="182">
        <v>3.75</v>
      </c>
      <c r="G35" s="182">
        <v>0.7</v>
      </c>
      <c r="H35" s="182">
        <v>2</v>
      </c>
      <c r="I35" s="182"/>
      <c r="J35" s="182"/>
      <c r="K35" s="183">
        <f>F35*G35*H35</f>
        <v>5.25</v>
      </c>
    </row>
    <row r="36" spans="1:11" x14ac:dyDescent="0.25">
      <c r="A36" s="181"/>
      <c r="B36" s="184"/>
      <c r="C36" s="182"/>
      <c r="D36" s="182"/>
      <c r="E36" s="182"/>
      <c r="F36" s="182"/>
      <c r="G36" s="182"/>
      <c r="H36" s="182"/>
      <c r="I36" s="182"/>
      <c r="J36" s="182"/>
      <c r="K36" s="183"/>
    </row>
    <row r="37" spans="1:11" x14ac:dyDescent="0.25">
      <c r="A37" s="181"/>
      <c r="B37" s="270" t="s">
        <v>255</v>
      </c>
      <c r="C37" s="270"/>
      <c r="D37" s="270"/>
      <c r="E37" s="270"/>
      <c r="F37" s="270"/>
      <c r="G37" s="270"/>
      <c r="H37" s="270"/>
      <c r="I37" s="270"/>
      <c r="J37" s="270"/>
      <c r="K37" s="271">
        <f>K35</f>
        <v>5.25</v>
      </c>
    </row>
    <row r="38" spans="1:11" ht="15.75" thickBot="1" x14ac:dyDescent="0.3">
      <c r="A38" s="181"/>
      <c r="B38" s="182"/>
      <c r="C38" s="182"/>
      <c r="D38" s="182"/>
      <c r="E38" s="182"/>
      <c r="F38" s="182"/>
      <c r="G38" s="182"/>
      <c r="H38" s="182"/>
      <c r="I38" s="182"/>
      <c r="J38" s="182"/>
      <c r="K38" s="183"/>
    </row>
    <row r="39" spans="1:11" ht="15.75" thickBot="1" x14ac:dyDescent="0.3">
      <c r="A39" s="281" t="s">
        <v>17</v>
      </c>
      <c r="B39" s="282" t="str">
        <f>Planilha!C15</f>
        <v xml:space="preserve">ESQUADRIAS </v>
      </c>
      <c r="C39" s="283"/>
      <c r="D39" s="283"/>
      <c r="E39" s="283"/>
      <c r="F39" s="283"/>
      <c r="G39" s="283"/>
      <c r="H39" s="285"/>
      <c r="I39" s="285"/>
      <c r="J39" s="285"/>
      <c r="K39" s="286"/>
    </row>
    <row r="40" spans="1:11" x14ac:dyDescent="0.25">
      <c r="A40" s="275" t="s">
        <v>53</v>
      </c>
      <c r="B40" s="270" t="str">
        <f>Planilha!C17</f>
        <v>Remoção e reassentamento de esquadria de ferro</v>
      </c>
      <c r="C40" s="270"/>
      <c r="D40" s="270"/>
      <c r="E40" s="270"/>
      <c r="F40" s="270"/>
      <c r="G40" s="270"/>
      <c r="H40" s="182"/>
      <c r="I40" s="182"/>
      <c r="J40" s="182"/>
      <c r="K40" s="183"/>
    </row>
    <row r="41" spans="1:11" x14ac:dyDescent="0.25">
      <c r="A41" s="181"/>
      <c r="B41" s="182"/>
      <c r="C41" s="182"/>
      <c r="D41" s="182"/>
      <c r="E41" s="182"/>
      <c r="F41" s="182" t="s">
        <v>256</v>
      </c>
      <c r="G41" s="182" t="s">
        <v>257</v>
      </c>
      <c r="H41" s="182"/>
      <c r="I41" s="182"/>
      <c r="J41" s="182"/>
      <c r="K41" s="183" t="s">
        <v>277</v>
      </c>
    </row>
    <row r="42" spans="1:11" x14ac:dyDescent="0.25">
      <c r="A42" s="181"/>
      <c r="B42" s="182"/>
      <c r="C42" s="182"/>
      <c r="D42" s="182"/>
      <c r="E42" s="182"/>
      <c r="F42" s="182">
        <v>3.65</v>
      </c>
      <c r="G42" s="182">
        <v>1.2</v>
      </c>
      <c r="H42" s="182"/>
      <c r="I42" s="182"/>
      <c r="J42" s="182"/>
      <c r="K42" s="183">
        <f>F42*G42</f>
        <v>4.38</v>
      </c>
    </row>
    <row r="43" spans="1:11" x14ac:dyDescent="0.25">
      <c r="A43" s="181"/>
      <c r="B43" s="182"/>
      <c r="C43" s="182"/>
      <c r="D43" s="182"/>
      <c r="E43" s="182"/>
      <c r="F43" s="182"/>
      <c r="G43" s="182"/>
      <c r="H43" s="182"/>
      <c r="I43" s="182"/>
      <c r="J43" s="182"/>
      <c r="K43" s="183"/>
    </row>
    <row r="44" spans="1:11" x14ac:dyDescent="0.25">
      <c r="A44" s="181"/>
      <c r="B44" s="270" t="s">
        <v>255</v>
      </c>
      <c r="C44" s="270"/>
      <c r="D44" s="270"/>
      <c r="E44" s="270"/>
      <c r="F44" s="270"/>
      <c r="G44" s="270"/>
      <c r="H44" s="270"/>
      <c r="I44" s="270"/>
      <c r="J44" s="270"/>
      <c r="K44" s="271">
        <f>K42</f>
        <v>4.38</v>
      </c>
    </row>
    <row r="45" spans="1:11" x14ac:dyDescent="0.25">
      <c r="A45" s="181"/>
      <c r="B45" s="182"/>
      <c r="C45" s="182"/>
      <c r="D45" s="182"/>
      <c r="E45" s="182"/>
      <c r="F45" s="182"/>
      <c r="G45" s="182"/>
      <c r="H45" s="182"/>
      <c r="I45" s="182"/>
      <c r="J45" s="182"/>
      <c r="K45" s="183"/>
    </row>
    <row r="46" spans="1:11" x14ac:dyDescent="0.25">
      <c r="A46" s="275" t="s">
        <v>91</v>
      </c>
      <c r="B46" s="270" t="str">
        <f>Planilha!C18</f>
        <v>Grade de ferro c/ gradil em barra chata 3/4" x 1/8", inclusive ferrolho e dobradiças conforme desenho</v>
      </c>
      <c r="C46" s="270"/>
      <c r="D46" s="270"/>
      <c r="E46" s="270"/>
      <c r="F46" s="270"/>
      <c r="G46" s="270"/>
      <c r="H46" s="270"/>
      <c r="I46" s="270"/>
      <c r="J46" s="270"/>
      <c r="K46" s="271"/>
    </row>
    <row r="47" spans="1:11" x14ac:dyDescent="0.25">
      <c r="A47" s="181"/>
      <c r="B47" s="182"/>
      <c r="C47" s="182"/>
      <c r="D47" s="182"/>
      <c r="E47" s="182"/>
      <c r="F47" s="182" t="s">
        <v>256</v>
      </c>
      <c r="G47" s="182" t="s">
        <v>257</v>
      </c>
      <c r="H47" s="182"/>
      <c r="I47" s="182"/>
      <c r="J47" s="182"/>
      <c r="K47" s="183" t="s">
        <v>277</v>
      </c>
    </row>
    <row r="48" spans="1:11" x14ac:dyDescent="0.25">
      <c r="A48" s="181"/>
      <c r="B48" s="182"/>
      <c r="C48" s="182"/>
      <c r="D48" s="182"/>
      <c r="E48" s="182"/>
      <c r="F48" s="182">
        <v>0.9</v>
      </c>
      <c r="G48" s="182">
        <v>2.1</v>
      </c>
      <c r="H48" s="182"/>
      <c r="I48" s="182"/>
      <c r="J48" s="182"/>
      <c r="K48" s="183">
        <f>F48*G48</f>
        <v>1.8900000000000001</v>
      </c>
    </row>
    <row r="49" spans="1:11" x14ac:dyDescent="0.25">
      <c r="A49" s="181"/>
      <c r="B49" s="184"/>
      <c r="C49" s="182"/>
      <c r="D49" s="182"/>
      <c r="E49" s="182"/>
      <c r="F49" s="182"/>
      <c r="G49" s="182"/>
      <c r="H49" s="182"/>
      <c r="I49" s="182"/>
      <c r="J49" s="182"/>
      <c r="K49" s="183"/>
    </row>
    <row r="50" spans="1:11" x14ac:dyDescent="0.25">
      <c r="A50" s="181"/>
      <c r="B50" s="270" t="s">
        <v>255</v>
      </c>
      <c r="C50" s="270"/>
      <c r="D50" s="270"/>
      <c r="E50" s="270"/>
      <c r="F50" s="270"/>
      <c r="G50" s="270"/>
      <c r="H50" s="270"/>
      <c r="I50" s="270"/>
      <c r="J50" s="270"/>
      <c r="K50" s="271">
        <f>K48</f>
        <v>1.8900000000000001</v>
      </c>
    </row>
    <row r="51" spans="1:11" ht="15.75" thickBot="1" x14ac:dyDescent="0.3">
      <c r="A51" s="181"/>
      <c r="B51" s="182"/>
      <c r="C51" s="182"/>
      <c r="D51" s="182"/>
      <c r="E51" s="182"/>
      <c r="F51" s="182"/>
      <c r="G51" s="182"/>
      <c r="H51" s="182"/>
      <c r="I51" s="182"/>
      <c r="J51" s="182"/>
      <c r="K51" s="183"/>
    </row>
    <row r="52" spans="1:11" ht="15.75" thickBot="1" x14ac:dyDescent="0.3">
      <c r="A52" s="281" t="s">
        <v>19</v>
      </c>
      <c r="B52" s="282" t="str">
        <f>Planilha!C19</f>
        <v>REVESTIMENTO</v>
      </c>
      <c r="C52" s="283"/>
      <c r="D52" s="283"/>
      <c r="E52" s="283"/>
      <c r="F52" s="283"/>
      <c r="G52" s="283"/>
      <c r="H52" s="283"/>
      <c r="I52" s="283"/>
      <c r="J52" s="283"/>
      <c r="K52" s="284"/>
    </row>
    <row r="53" spans="1:11" ht="30" customHeight="1" x14ac:dyDescent="0.25">
      <c r="A53" s="275" t="s">
        <v>380</v>
      </c>
      <c r="B53" s="378" t="str">
        <f>Planilha!C20</f>
        <v>CHAPISCO APLICADO EM ALVENARIAS E ESTRUTURAS DE CONCRETO INTERNAS, COM COLHER DE PEDREIRO. ARGAMASSA TRAÇO 1:3 COM PREPARO EM BETONEIRA 400L. AF_06/2014</v>
      </c>
      <c r="C53" s="378"/>
      <c r="D53" s="378"/>
      <c r="E53" s="378"/>
      <c r="F53" s="378"/>
      <c r="G53" s="378"/>
      <c r="H53" s="378"/>
      <c r="I53" s="378"/>
      <c r="J53" s="378"/>
      <c r="K53" s="379"/>
    </row>
    <row r="54" spans="1:11" x14ac:dyDescent="0.25">
      <c r="A54" s="181"/>
      <c r="B54" s="182"/>
      <c r="C54" s="182"/>
      <c r="D54" s="182"/>
      <c r="E54" s="182"/>
      <c r="F54" s="182" t="s">
        <v>256</v>
      </c>
      <c r="G54" s="182" t="s">
        <v>257</v>
      </c>
      <c r="H54" s="182"/>
      <c r="I54" s="182"/>
      <c r="J54" s="182"/>
      <c r="K54" s="183" t="s">
        <v>277</v>
      </c>
    </row>
    <row r="55" spans="1:11" x14ac:dyDescent="0.25">
      <c r="A55" s="181"/>
      <c r="B55" s="182"/>
      <c r="C55" s="182"/>
      <c r="D55" s="182"/>
      <c r="E55" s="182"/>
      <c r="F55" s="182">
        <v>5</v>
      </c>
      <c r="G55" s="182">
        <v>2</v>
      </c>
      <c r="H55" s="182"/>
      <c r="I55" s="182"/>
      <c r="J55" s="182"/>
      <c r="K55" s="185">
        <f>ROUND(F55*G55,2)</f>
        <v>10</v>
      </c>
    </row>
    <row r="56" spans="1:11" x14ac:dyDescent="0.25">
      <c r="A56" s="181"/>
      <c r="B56" s="184"/>
      <c r="C56" s="182"/>
      <c r="D56" s="182"/>
      <c r="E56" s="182"/>
      <c r="F56" s="182"/>
      <c r="G56" s="182"/>
      <c r="H56" s="182"/>
      <c r="I56" s="182"/>
      <c r="J56" s="182"/>
      <c r="K56" s="185"/>
    </row>
    <row r="57" spans="1:11" x14ac:dyDescent="0.25">
      <c r="A57" s="181"/>
      <c r="B57" s="270" t="s">
        <v>255</v>
      </c>
      <c r="C57" s="270"/>
      <c r="D57" s="270"/>
      <c r="E57" s="270"/>
      <c r="F57" s="270"/>
      <c r="G57" s="270"/>
      <c r="H57" s="270"/>
      <c r="I57" s="270"/>
      <c r="J57" s="270"/>
      <c r="K57" s="272">
        <f>ROUND(K55,2)</f>
        <v>10</v>
      </c>
    </row>
    <row r="58" spans="1:11" x14ac:dyDescent="0.25">
      <c r="A58" s="181"/>
      <c r="B58" s="182"/>
      <c r="C58" s="182"/>
      <c r="D58" s="182"/>
      <c r="E58" s="182"/>
      <c r="F58" s="182"/>
      <c r="G58" s="182"/>
      <c r="H58" s="182"/>
      <c r="I58" s="182"/>
      <c r="J58" s="182"/>
      <c r="K58" s="183"/>
    </row>
    <row r="59" spans="1:11" ht="45.75" customHeight="1" x14ac:dyDescent="0.25">
      <c r="A59" s="275" t="s">
        <v>381</v>
      </c>
      <c r="B59" s="378" t="str">
        <f>Planilha!C21</f>
        <v>EMBOÇO OU MASSA ÚNICA EM ARGAMASSA TRAÇO 1:2:8, PREPARO MECÂNICO COM BETONEIRA 400 L, APLICADA MANUALMENTE EM PANOS CEGOS DE FACHADA (SEM PRESENÇA DE VÃOS), ESPESSURA DE 25 MM. AF_06/2014</v>
      </c>
      <c r="C59" s="378"/>
      <c r="D59" s="378"/>
      <c r="E59" s="378"/>
      <c r="F59" s="378"/>
      <c r="G59" s="378"/>
      <c r="H59" s="378"/>
      <c r="I59" s="378"/>
      <c r="J59" s="378"/>
      <c r="K59" s="379"/>
    </row>
    <row r="60" spans="1:11" x14ac:dyDescent="0.25">
      <c r="A60" s="181"/>
      <c r="B60" s="182"/>
      <c r="C60" s="182"/>
      <c r="D60" s="182"/>
      <c r="E60" s="182"/>
      <c r="F60" s="182" t="s">
        <v>256</v>
      </c>
      <c r="G60" s="182" t="s">
        <v>257</v>
      </c>
      <c r="H60" s="182"/>
      <c r="I60" s="182"/>
      <c r="J60" s="182"/>
      <c r="K60" s="183" t="s">
        <v>277</v>
      </c>
    </row>
    <row r="61" spans="1:11" x14ac:dyDescent="0.25">
      <c r="A61" s="181"/>
      <c r="B61" s="182"/>
      <c r="C61" s="182"/>
      <c r="D61" s="182"/>
      <c r="E61" s="182"/>
      <c r="F61" s="182">
        <v>5</v>
      </c>
      <c r="G61" s="182">
        <v>2</v>
      </c>
      <c r="H61" s="182"/>
      <c r="I61" s="182"/>
      <c r="J61" s="182"/>
      <c r="K61" s="185">
        <f>F61*G61</f>
        <v>10</v>
      </c>
    </row>
    <row r="62" spans="1:11" x14ac:dyDescent="0.25">
      <c r="A62" s="181"/>
      <c r="B62" s="184"/>
      <c r="C62" s="182"/>
      <c r="D62" s="182"/>
      <c r="E62" s="182"/>
      <c r="F62" s="182"/>
      <c r="G62" s="182"/>
      <c r="H62" s="182"/>
      <c r="I62" s="182"/>
      <c r="J62" s="182"/>
      <c r="K62" s="185"/>
    </row>
    <row r="63" spans="1:11" x14ac:dyDescent="0.25">
      <c r="A63" s="181"/>
      <c r="B63" s="270" t="s">
        <v>255</v>
      </c>
      <c r="C63" s="270"/>
      <c r="D63" s="270"/>
      <c r="E63" s="270"/>
      <c r="F63" s="270"/>
      <c r="G63" s="270"/>
      <c r="H63" s="270"/>
      <c r="I63" s="270"/>
      <c r="J63" s="270"/>
      <c r="K63" s="272">
        <f>K61</f>
        <v>10</v>
      </c>
    </row>
    <row r="64" spans="1:11" x14ac:dyDescent="0.25">
      <c r="A64" s="181"/>
      <c r="B64" s="182"/>
      <c r="C64" s="182"/>
      <c r="D64" s="182"/>
      <c r="E64" s="182"/>
      <c r="F64" s="182"/>
      <c r="G64" s="182"/>
      <c r="H64" s="182"/>
      <c r="I64" s="182"/>
      <c r="J64" s="182"/>
      <c r="K64" s="183"/>
    </row>
    <row r="65" spans="1:11" s="100" customFormat="1" ht="30.75" customHeight="1" x14ac:dyDescent="0.25">
      <c r="A65" s="275" t="s">
        <v>382</v>
      </c>
      <c r="B65" s="373" t="str">
        <f>Planilha!C22</f>
        <v>Revestimento cerâmico para parede, 10 x 10 cm, Elizabeth, linha lux neve, aplicado com argamassa industrializada ac-ii, rejuntado, exclusive regularização de base ou emboço</v>
      </c>
      <c r="C65" s="373"/>
      <c r="D65" s="373"/>
      <c r="E65" s="373"/>
      <c r="F65" s="373"/>
      <c r="G65" s="373"/>
      <c r="H65" s="373"/>
      <c r="I65" s="373"/>
      <c r="J65" s="373"/>
      <c r="K65" s="374"/>
    </row>
    <row r="66" spans="1:11" s="100" customFormat="1" x14ac:dyDescent="0.25">
      <c r="A66" s="181"/>
      <c r="B66" s="182"/>
      <c r="C66" s="182"/>
      <c r="D66" s="182"/>
      <c r="E66" s="182"/>
      <c r="F66" s="182" t="s">
        <v>256</v>
      </c>
      <c r="G66" s="182" t="s">
        <v>257</v>
      </c>
      <c r="H66" s="182"/>
      <c r="I66" s="182"/>
      <c r="J66" s="182"/>
      <c r="K66" s="183" t="s">
        <v>277</v>
      </c>
    </row>
    <row r="67" spans="1:11" s="100" customFormat="1" x14ac:dyDescent="0.25">
      <c r="A67" s="181"/>
      <c r="B67" s="182"/>
      <c r="C67" s="182"/>
      <c r="D67" s="182"/>
      <c r="E67" s="182"/>
      <c r="F67" s="182">
        <v>5</v>
      </c>
      <c r="G67" s="182">
        <v>2</v>
      </c>
      <c r="H67" s="182"/>
      <c r="I67" s="182"/>
      <c r="J67" s="182"/>
      <c r="K67" s="185">
        <f>F67*G67</f>
        <v>10</v>
      </c>
    </row>
    <row r="68" spans="1:11" s="100" customFormat="1" x14ac:dyDescent="0.25">
      <c r="A68" s="181"/>
      <c r="B68" s="184"/>
      <c r="C68" s="182"/>
      <c r="D68" s="182"/>
      <c r="E68" s="182"/>
      <c r="F68" s="182"/>
      <c r="G68" s="182"/>
      <c r="H68" s="182"/>
      <c r="I68" s="182"/>
      <c r="J68" s="182"/>
      <c r="K68" s="183"/>
    </row>
    <row r="69" spans="1:11" s="100" customFormat="1" x14ac:dyDescent="0.25">
      <c r="A69" s="181"/>
      <c r="B69" s="270" t="s">
        <v>255</v>
      </c>
      <c r="C69" s="270"/>
      <c r="D69" s="270"/>
      <c r="E69" s="270"/>
      <c r="F69" s="270"/>
      <c r="G69" s="270"/>
      <c r="H69" s="270"/>
      <c r="I69" s="270"/>
      <c r="J69" s="270"/>
      <c r="K69" s="272">
        <f>K67</f>
        <v>10</v>
      </c>
    </row>
    <row r="70" spans="1:11" s="100" customFormat="1" x14ac:dyDescent="0.25">
      <c r="A70" s="181"/>
      <c r="B70" s="182"/>
      <c r="C70" s="182"/>
      <c r="D70" s="182"/>
      <c r="E70" s="182"/>
      <c r="F70" s="182"/>
      <c r="G70" s="182"/>
      <c r="H70" s="182"/>
      <c r="I70" s="182"/>
      <c r="J70" s="182"/>
      <c r="K70" s="183"/>
    </row>
    <row r="71" spans="1:11" s="100" customFormat="1" x14ac:dyDescent="0.25">
      <c r="A71" s="275" t="s">
        <v>383</v>
      </c>
      <c r="B71" s="270" t="str">
        <f>Planilha!C23</f>
        <v>Revestimento em Casquilho Cerâmico (conforme proj. de arquitetura), inclusive rejunte flexível</v>
      </c>
      <c r="C71" s="270"/>
      <c r="D71" s="270"/>
      <c r="E71" s="270"/>
      <c r="F71" s="270"/>
      <c r="G71" s="270"/>
      <c r="H71" s="270"/>
      <c r="I71" s="270"/>
      <c r="J71" s="270"/>
      <c r="K71" s="183"/>
    </row>
    <row r="72" spans="1:11" s="100" customFormat="1" x14ac:dyDescent="0.25">
      <c r="A72" s="181"/>
      <c r="B72" s="182"/>
      <c r="C72" s="182"/>
      <c r="D72" s="182"/>
      <c r="E72" s="182"/>
      <c r="F72" s="182" t="s">
        <v>256</v>
      </c>
      <c r="G72" s="182" t="s">
        <v>257</v>
      </c>
      <c r="H72" s="182"/>
      <c r="I72" s="182"/>
      <c r="J72" s="182"/>
      <c r="K72" s="183" t="s">
        <v>277</v>
      </c>
    </row>
    <row r="73" spans="1:11" s="100" customFormat="1" x14ac:dyDescent="0.25">
      <c r="A73" s="181"/>
      <c r="B73" s="182"/>
      <c r="C73" s="182"/>
      <c r="D73" s="182"/>
      <c r="E73" s="182"/>
      <c r="F73" s="182">
        <v>1.25</v>
      </c>
      <c r="G73" s="182">
        <v>1.75</v>
      </c>
      <c r="H73" s="182"/>
      <c r="I73" s="182"/>
      <c r="J73" s="182"/>
      <c r="K73" s="183">
        <f>ROUND(F73*G73,2)</f>
        <v>2.19</v>
      </c>
    </row>
    <row r="74" spans="1:11" s="100" customFormat="1" x14ac:dyDescent="0.25">
      <c r="A74" s="181"/>
      <c r="B74" s="184"/>
      <c r="C74" s="182"/>
      <c r="D74" s="182"/>
      <c r="E74" s="182"/>
      <c r="F74" s="182"/>
      <c r="G74" s="182"/>
      <c r="H74" s="182"/>
      <c r="I74" s="182"/>
      <c r="J74" s="182"/>
      <c r="K74" s="183"/>
    </row>
    <row r="75" spans="1:11" s="100" customFormat="1" x14ac:dyDescent="0.25">
      <c r="A75" s="181"/>
      <c r="B75" s="270" t="s">
        <v>255</v>
      </c>
      <c r="C75" s="270"/>
      <c r="D75" s="270"/>
      <c r="E75" s="270"/>
      <c r="F75" s="270"/>
      <c r="G75" s="270"/>
      <c r="H75" s="270"/>
      <c r="I75" s="270"/>
      <c r="J75" s="270"/>
      <c r="K75" s="271">
        <f>K73</f>
        <v>2.19</v>
      </c>
    </row>
    <row r="76" spans="1:11" s="100" customFormat="1" ht="15.75" thickBot="1" x14ac:dyDescent="0.3">
      <c r="A76" s="181"/>
      <c r="B76" s="182"/>
      <c r="C76" s="182"/>
      <c r="D76" s="182"/>
      <c r="E76" s="182"/>
      <c r="F76" s="182"/>
      <c r="G76" s="182"/>
      <c r="H76" s="182"/>
      <c r="I76" s="182"/>
      <c r="J76" s="182"/>
      <c r="K76" s="183"/>
    </row>
    <row r="77" spans="1:11" ht="15.75" thickBot="1" x14ac:dyDescent="0.3">
      <c r="A77" s="281" t="s">
        <v>62</v>
      </c>
      <c r="B77" s="282" t="str">
        <f>Planilha!C24</f>
        <v>PINTURA</v>
      </c>
      <c r="C77" s="283"/>
      <c r="D77" s="283"/>
      <c r="E77" s="283"/>
      <c r="F77" s="283"/>
      <c r="G77" s="283"/>
      <c r="H77" s="283"/>
      <c r="I77" s="283"/>
      <c r="J77" s="285"/>
      <c r="K77" s="286"/>
    </row>
    <row r="78" spans="1:11" x14ac:dyDescent="0.25">
      <c r="A78" s="275" t="s">
        <v>63</v>
      </c>
      <c r="B78" s="276" t="str">
        <f>Planilha!C25</f>
        <v>APLICAÇÃO DE FUNDO SELADOR ACRÍLICO EM PAREDES, UMA DEMÃO. AF_06/2014</v>
      </c>
      <c r="C78" s="270"/>
      <c r="D78" s="270"/>
      <c r="E78" s="270"/>
      <c r="F78" s="270"/>
      <c r="G78" s="270"/>
      <c r="H78" s="270"/>
      <c r="I78" s="270"/>
      <c r="J78" s="182"/>
      <c r="K78" s="183"/>
    </row>
    <row r="79" spans="1:11" x14ac:dyDescent="0.25">
      <c r="A79" s="181"/>
      <c r="B79" s="182"/>
      <c r="C79" s="182"/>
      <c r="D79" s="182"/>
      <c r="E79" s="182"/>
      <c r="F79" s="182" t="s">
        <v>256</v>
      </c>
      <c r="G79" s="182" t="s">
        <v>257</v>
      </c>
      <c r="H79" s="182" t="s">
        <v>30</v>
      </c>
      <c r="I79" s="182"/>
      <c r="J79" s="182"/>
      <c r="K79" s="183" t="s">
        <v>277</v>
      </c>
    </row>
    <row r="80" spans="1:11" x14ac:dyDescent="0.25">
      <c r="A80" s="181"/>
      <c r="B80" s="182"/>
      <c r="C80" s="182"/>
      <c r="D80" s="182"/>
      <c r="E80" s="182"/>
      <c r="F80" s="182">
        <v>5.65</v>
      </c>
      <c r="G80" s="182">
        <v>3.4</v>
      </c>
      <c r="H80" s="182">
        <v>2</v>
      </c>
      <c r="I80" s="182"/>
      <c r="J80" s="182"/>
      <c r="K80" s="183">
        <f>F80*G80*H80</f>
        <v>38.42</v>
      </c>
    </row>
    <row r="81" spans="1:12" x14ac:dyDescent="0.25">
      <c r="A81" s="181"/>
      <c r="B81" s="184"/>
      <c r="C81" s="182"/>
      <c r="D81" s="182"/>
      <c r="E81" s="182"/>
      <c r="F81" s="182">
        <v>5</v>
      </c>
      <c r="G81" s="182">
        <v>2</v>
      </c>
      <c r="H81" s="182">
        <v>2</v>
      </c>
      <c r="I81" s="182"/>
      <c r="J81" s="182"/>
      <c r="K81" s="185">
        <f>F81*G81*H81</f>
        <v>20</v>
      </c>
    </row>
    <row r="82" spans="1:12" x14ac:dyDescent="0.25">
      <c r="A82" s="181"/>
      <c r="B82" s="184"/>
      <c r="C82" s="182"/>
      <c r="D82" s="182"/>
      <c r="E82" s="182"/>
      <c r="F82" s="182">
        <v>3.75</v>
      </c>
      <c r="G82" s="182">
        <v>0.7</v>
      </c>
      <c r="H82" s="182">
        <v>2</v>
      </c>
      <c r="I82" s="182"/>
      <c r="J82" s="182"/>
      <c r="K82" s="183">
        <f>F82*G82*H82</f>
        <v>5.25</v>
      </c>
    </row>
    <row r="83" spans="1:12" x14ac:dyDescent="0.25">
      <c r="A83" s="181"/>
      <c r="B83" s="184"/>
      <c r="C83" s="182"/>
      <c r="D83" s="182"/>
      <c r="E83" s="182"/>
      <c r="F83" s="182"/>
      <c r="G83" s="182"/>
      <c r="H83" s="182"/>
      <c r="I83" s="182"/>
      <c r="J83" s="182"/>
      <c r="K83" s="183"/>
    </row>
    <row r="84" spans="1:12" x14ac:dyDescent="0.25">
      <c r="A84" s="181"/>
      <c r="B84" s="270" t="s">
        <v>255</v>
      </c>
      <c r="C84" s="270"/>
      <c r="D84" s="270"/>
      <c r="E84" s="270"/>
      <c r="F84" s="270"/>
      <c r="G84" s="270"/>
      <c r="H84" s="270"/>
      <c r="I84" s="270"/>
      <c r="J84" s="270"/>
      <c r="K84" s="271">
        <f>K80+K81+K82</f>
        <v>63.67</v>
      </c>
    </row>
    <row r="85" spans="1:12" x14ac:dyDescent="0.25">
      <c r="A85" s="186"/>
      <c r="B85" s="187"/>
      <c r="C85" s="188"/>
      <c r="D85" s="188"/>
      <c r="E85" s="188"/>
      <c r="F85" s="188"/>
      <c r="G85" s="188"/>
      <c r="H85" s="188"/>
      <c r="I85" s="188"/>
      <c r="J85" s="188"/>
      <c r="K85" s="189"/>
      <c r="L85" s="3"/>
    </row>
    <row r="86" spans="1:12" x14ac:dyDescent="0.25">
      <c r="A86" s="277" t="s">
        <v>64</v>
      </c>
      <c r="B86" s="278" t="str">
        <f>Planilha!C26</f>
        <v>APLICAÇÃO E LIXAMENTO DE MASSA LÁTEX EM PAREDES, DUAS DEMÃOS. AF_06/2014</v>
      </c>
      <c r="C86" s="279"/>
      <c r="D86" s="279"/>
      <c r="E86" s="280"/>
      <c r="F86" s="280"/>
      <c r="G86" s="279"/>
      <c r="H86" s="280"/>
      <c r="I86" s="279"/>
      <c r="J86" s="188"/>
      <c r="K86" s="189"/>
      <c r="L86" s="3"/>
    </row>
    <row r="87" spans="1:12" x14ac:dyDescent="0.25">
      <c r="A87" s="186"/>
      <c r="B87" s="182"/>
      <c r="C87" s="182"/>
      <c r="D87" s="182"/>
      <c r="E87" s="182"/>
      <c r="F87" s="182" t="s">
        <v>256</v>
      </c>
      <c r="G87" s="182" t="s">
        <v>257</v>
      </c>
      <c r="H87" s="182" t="s">
        <v>30</v>
      </c>
      <c r="I87" s="182"/>
      <c r="J87" s="182"/>
      <c r="K87" s="183" t="s">
        <v>277</v>
      </c>
      <c r="L87" s="3"/>
    </row>
    <row r="88" spans="1:12" x14ac:dyDescent="0.25">
      <c r="A88" s="186"/>
      <c r="B88" s="182"/>
      <c r="C88" s="182"/>
      <c r="D88" s="182"/>
      <c r="E88" s="182"/>
      <c r="F88" s="182">
        <v>5.65</v>
      </c>
      <c r="G88" s="182">
        <v>3.4</v>
      </c>
      <c r="H88" s="182">
        <v>2</v>
      </c>
      <c r="I88" s="182"/>
      <c r="J88" s="182"/>
      <c r="K88" s="183">
        <f>F88*G88*H88</f>
        <v>38.42</v>
      </c>
      <c r="L88" s="3"/>
    </row>
    <row r="89" spans="1:12" x14ac:dyDescent="0.25">
      <c r="A89" s="186"/>
      <c r="B89" s="184"/>
      <c r="C89" s="182"/>
      <c r="D89" s="182"/>
      <c r="E89" s="182"/>
      <c r="F89" s="182">
        <v>5</v>
      </c>
      <c r="G89" s="182">
        <v>2</v>
      </c>
      <c r="H89" s="182">
        <v>2</v>
      </c>
      <c r="I89" s="182"/>
      <c r="J89" s="182"/>
      <c r="K89" s="185">
        <f>F89*G89*H89</f>
        <v>20</v>
      </c>
      <c r="L89" s="3"/>
    </row>
    <row r="90" spans="1:12" x14ac:dyDescent="0.25">
      <c r="A90" s="186"/>
      <c r="B90" s="184"/>
      <c r="C90" s="182"/>
      <c r="D90" s="182"/>
      <c r="E90" s="182"/>
      <c r="F90" s="182">
        <v>3.75</v>
      </c>
      <c r="G90" s="182">
        <v>0.7</v>
      </c>
      <c r="H90" s="182">
        <v>2</v>
      </c>
      <c r="I90" s="182"/>
      <c r="J90" s="182"/>
      <c r="K90" s="183">
        <f>F90*G90*H90</f>
        <v>5.25</v>
      </c>
      <c r="L90" s="3"/>
    </row>
    <row r="91" spans="1:12" x14ac:dyDescent="0.25">
      <c r="A91" s="186"/>
      <c r="B91" s="184"/>
      <c r="C91" s="182"/>
      <c r="D91" s="182"/>
      <c r="E91" s="182"/>
      <c r="F91" s="182"/>
      <c r="G91" s="182"/>
      <c r="H91" s="182"/>
      <c r="I91" s="182"/>
      <c r="J91" s="182"/>
      <c r="K91" s="183"/>
      <c r="L91" s="3"/>
    </row>
    <row r="92" spans="1:12" x14ac:dyDescent="0.25">
      <c r="A92" s="186"/>
      <c r="B92" s="270" t="s">
        <v>255</v>
      </c>
      <c r="C92" s="270"/>
      <c r="D92" s="270"/>
      <c r="E92" s="270"/>
      <c r="F92" s="270"/>
      <c r="G92" s="270"/>
      <c r="H92" s="270"/>
      <c r="I92" s="270"/>
      <c r="J92" s="270"/>
      <c r="K92" s="271">
        <f>K88+K89+K90</f>
        <v>63.67</v>
      </c>
      <c r="L92" s="3"/>
    </row>
    <row r="93" spans="1:12" x14ac:dyDescent="0.25">
      <c r="A93" s="181"/>
      <c r="B93" s="182"/>
      <c r="C93" s="182"/>
      <c r="D93" s="182"/>
      <c r="E93" s="182"/>
      <c r="F93" s="182"/>
      <c r="G93" s="182"/>
      <c r="H93" s="182"/>
      <c r="I93" s="182"/>
      <c r="J93" s="182"/>
      <c r="K93" s="183"/>
    </row>
    <row r="94" spans="1:12" x14ac:dyDescent="0.25">
      <c r="A94" s="275" t="s">
        <v>373</v>
      </c>
      <c r="B94" s="276" t="str">
        <f>Planilha!C27</f>
        <v>APLICAÇÃO MANUAL DE PINTURA COM TINTA LÁTEX ACRÍLICA EM PAREDES, DUAS DEMÃOS. AF_06/2014</v>
      </c>
      <c r="C94" s="270"/>
      <c r="D94" s="270"/>
      <c r="E94" s="270"/>
      <c r="F94" s="270"/>
      <c r="G94" s="270"/>
      <c r="H94" s="270"/>
      <c r="I94" s="270"/>
      <c r="J94" s="270"/>
      <c r="K94" s="271"/>
    </row>
    <row r="95" spans="1:12" x14ac:dyDescent="0.25">
      <c r="A95" s="181"/>
      <c r="B95" s="182"/>
      <c r="C95" s="182"/>
      <c r="D95" s="182"/>
      <c r="E95" s="182"/>
      <c r="F95" s="182" t="s">
        <v>256</v>
      </c>
      <c r="G95" s="182" t="s">
        <v>257</v>
      </c>
      <c r="H95" s="182" t="s">
        <v>30</v>
      </c>
      <c r="I95" s="182" t="s">
        <v>288</v>
      </c>
      <c r="J95" s="182"/>
      <c r="K95" s="183" t="s">
        <v>277</v>
      </c>
    </row>
    <row r="96" spans="1:12" x14ac:dyDescent="0.25">
      <c r="A96" s="181"/>
      <c r="B96" s="182"/>
      <c r="C96" s="182"/>
      <c r="D96" s="182"/>
      <c r="E96" s="182"/>
      <c r="F96" s="182">
        <v>5.65</v>
      </c>
      <c r="G96" s="182">
        <v>3.4</v>
      </c>
      <c r="H96" s="182">
        <v>2</v>
      </c>
      <c r="I96" s="182"/>
      <c r="J96" s="182"/>
      <c r="K96" s="183">
        <f>F96*G96*H96</f>
        <v>38.42</v>
      </c>
    </row>
    <row r="97" spans="1:11" x14ac:dyDescent="0.25">
      <c r="A97" s="181"/>
      <c r="B97" s="184"/>
      <c r="C97" s="182"/>
      <c r="D97" s="182"/>
      <c r="E97" s="182"/>
      <c r="F97" s="182">
        <v>21.3</v>
      </c>
      <c r="G97" s="182">
        <v>1.7</v>
      </c>
      <c r="H97" s="182"/>
      <c r="I97" s="182">
        <f>2.4*4</f>
        <v>9.6</v>
      </c>
      <c r="J97" s="182"/>
      <c r="K97" s="183">
        <f>F97*G97-I97</f>
        <v>26.61</v>
      </c>
    </row>
    <row r="98" spans="1:11" x14ac:dyDescent="0.25">
      <c r="A98" s="181"/>
      <c r="B98" s="184"/>
      <c r="C98" s="182"/>
      <c r="D98" s="182"/>
      <c r="E98" s="182"/>
      <c r="F98" s="182">
        <v>21.3</v>
      </c>
      <c r="G98" s="182">
        <v>1.7</v>
      </c>
      <c r="H98" s="182"/>
      <c r="I98" s="182">
        <f>2.4*3</f>
        <v>7.1999999999999993</v>
      </c>
      <c r="J98" s="182"/>
      <c r="K98" s="183">
        <f>F98*G98-I98</f>
        <v>29.01</v>
      </c>
    </row>
    <row r="99" spans="1:11" x14ac:dyDescent="0.25">
      <c r="A99" s="181"/>
      <c r="B99" s="184"/>
      <c r="C99" s="182"/>
      <c r="D99" s="182"/>
      <c r="E99" s="182"/>
      <c r="F99" s="182">
        <v>3.75</v>
      </c>
      <c r="G99" s="182">
        <v>0.7</v>
      </c>
      <c r="H99" s="182">
        <v>2</v>
      </c>
      <c r="I99" s="182"/>
      <c r="J99" s="182"/>
      <c r="K99" s="183">
        <f>F99*G99-I99</f>
        <v>2.625</v>
      </c>
    </row>
    <row r="100" spans="1:11" x14ac:dyDescent="0.25">
      <c r="A100" s="181"/>
      <c r="B100" s="184"/>
      <c r="C100" s="182"/>
      <c r="D100" s="182"/>
      <c r="E100" s="182"/>
      <c r="F100" s="182"/>
      <c r="G100" s="182"/>
      <c r="H100" s="182"/>
      <c r="I100" s="182"/>
      <c r="J100" s="182"/>
      <c r="K100" s="183"/>
    </row>
    <row r="101" spans="1:11" x14ac:dyDescent="0.25">
      <c r="A101" s="181"/>
      <c r="B101" s="270" t="s">
        <v>255</v>
      </c>
      <c r="C101" s="270"/>
      <c r="D101" s="270"/>
      <c r="E101" s="270"/>
      <c r="F101" s="270"/>
      <c r="G101" s="270"/>
      <c r="H101" s="270"/>
      <c r="I101" s="270"/>
      <c r="J101" s="270"/>
      <c r="K101" s="271">
        <f>ROUND(SUM(K96:K99),2)</f>
        <v>96.67</v>
      </c>
    </row>
    <row r="102" spans="1:11" x14ac:dyDescent="0.25">
      <c r="A102" s="181"/>
      <c r="B102" s="182"/>
      <c r="C102" s="182"/>
      <c r="D102" s="182"/>
      <c r="E102" s="182"/>
      <c r="F102" s="182"/>
      <c r="G102" s="182"/>
      <c r="H102" s="182"/>
      <c r="I102" s="182"/>
      <c r="J102" s="182"/>
      <c r="K102" s="183"/>
    </row>
    <row r="103" spans="1:11" x14ac:dyDescent="0.25">
      <c r="A103" s="275" t="s">
        <v>374</v>
      </c>
      <c r="B103" s="276" t="str">
        <f>Planilha!C28</f>
        <v>PINTURA ESMALTE ACETINADO EM MADEIRA, DUAS DEMAOS</v>
      </c>
      <c r="C103" s="270"/>
      <c r="D103" s="270"/>
      <c r="E103" s="270"/>
      <c r="F103" s="270"/>
      <c r="G103" s="270"/>
      <c r="H103" s="182"/>
      <c r="I103" s="182"/>
      <c r="J103" s="182"/>
      <c r="K103" s="183"/>
    </row>
    <row r="104" spans="1:11" x14ac:dyDescent="0.25">
      <c r="A104" s="181"/>
      <c r="B104" s="182"/>
      <c r="C104" s="182"/>
      <c r="D104" s="182"/>
      <c r="E104" s="182"/>
      <c r="F104" s="182" t="s">
        <v>256</v>
      </c>
      <c r="G104" s="182" t="s">
        <v>257</v>
      </c>
      <c r="H104" s="182" t="s">
        <v>30</v>
      </c>
      <c r="I104" s="182"/>
      <c r="J104" s="182"/>
      <c r="K104" s="183" t="s">
        <v>277</v>
      </c>
    </row>
    <row r="105" spans="1:11" x14ac:dyDescent="0.25">
      <c r="A105" s="181"/>
      <c r="B105" s="182"/>
      <c r="C105" s="182"/>
      <c r="D105" s="182"/>
      <c r="E105" s="182"/>
      <c r="F105" s="182">
        <v>2.1</v>
      </c>
      <c r="G105" s="182">
        <v>0.9</v>
      </c>
      <c r="H105" s="182">
        <v>2</v>
      </c>
      <c r="I105" s="182"/>
      <c r="J105" s="182"/>
      <c r="K105" s="183">
        <f>F105*G105*H105</f>
        <v>3.7800000000000002</v>
      </c>
    </row>
    <row r="106" spans="1:11" x14ac:dyDescent="0.25">
      <c r="A106" s="181"/>
      <c r="B106" s="184"/>
      <c r="C106" s="182"/>
      <c r="D106" s="182"/>
      <c r="E106" s="182"/>
      <c r="F106" s="182">
        <f>2.1+2.1+0.9</f>
        <v>5.1000000000000005</v>
      </c>
      <c r="G106" s="182">
        <v>0.15</v>
      </c>
      <c r="H106" s="182">
        <v>1</v>
      </c>
      <c r="I106" s="182"/>
      <c r="J106" s="182"/>
      <c r="K106" s="183">
        <f>F106*G106*H106</f>
        <v>0.76500000000000001</v>
      </c>
    </row>
    <row r="107" spans="1:11" x14ac:dyDescent="0.25">
      <c r="A107" s="181"/>
      <c r="B107" s="184"/>
      <c r="C107" s="182"/>
      <c r="D107" s="182"/>
      <c r="E107" s="182"/>
      <c r="F107" s="182"/>
      <c r="G107" s="182"/>
      <c r="H107" s="182"/>
      <c r="I107" s="182"/>
      <c r="J107" s="182"/>
      <c r="K107" s="183"/>
    </row>
    <row r="108" spans="1:11" x14ac:dyDescent="0.25">
      <c r="A108" s="181"/>
      <c r="B108" s="270" t="s">
        <v>255</v>
      </c>
      <c r="C108" s="270"/>
      <c r="D108" s="270"/>
      <c r="E108" s="270"/>
      <c r="F108" s="270"/>
      <c r="G108" s="270"/>
      <c r="H108" s="270"/>
      <c r="I108" s="270"/>
      <c r="J108" s="270"/>
      <c r="K108" s="271">
        <f>K105+K106</f>
        <v>4.5449999999999999</v>
      </c>
    </row>
    <row r="109" spans="1:11" x14ac:dyDescent="0.25">
      <c r="A109" s="181"/>
      <c r="B109" s="182"/>
      <c r="C109" s="182"/>
      <c r="D109" s="182"/>
      <c r="E109" s="182"/>
      <c r="F109" s="182"/>
      <c r="G109" s="182"/>
      <c r="H109" s="182"/>
      <c r="I109" s="182"/>
      <c r="J109" s="182"/>
      <c r="K109" s="183"/>
    </row>
    <row r="110" spans="1:11" ht="48" customHeight="1" x14ac:dyDescent="0.25">
      <c r="A110" s="275" t="s">
        <v>375</v>
      </c>
      <c r="B110" s="373" t="str">
        <f>Planilha!C29</f>
        <v>Pintura de Gradil Metálico, confeccionado com barras chata 1 1/4" x 3/16", em módulos 16x16cm, ou tijolinho 20x10cm, com 01 demão de tinta anti-corrosiva - zarcão e 02 demãos de esmalte sintético (medir somente uma vez)</v>
      </c>
      <c r="C110" s="373"/>
      <c r="D110" s="373"/>
      <c r="E110" s="373"/>
      <c r="F110" s="373"/>
      <c r="G110" s="373"/>
      <c r="H110" s="373"/>
      <c r="I110" s="373"/>
      <c r="J110" s="373"/>
      <c r="K110" s="374"/>
    </row>
    <row r="111" spans="1:11" x14ac:dyDescent="0.25">
      <c r="A111" s="181"/>
      <c r="B111" s="182"/>
      <c r="C111" s="182"/>
      <c r="D111" s="182"/>
      <c r="E111" s="182"/>
      <c r="F111" s="182" t="s">
        <v>256</v>
      </c>
      <c r="G111" s="182" t="s">
        <v>257</v>
      </c>
      <c r="H111" s="182" t="s">
        <v>30</v>
      </c>
      <c r="I111" s="182"/>
      <c r="J111" s="182"/>
      <c r="K111" s="183" t="s">
        <v>277</v>
      </c>
    </row>
    <row r="112" spans="1:11" x14ac:dyDescent="0.25">
      <c r="A112" s="181"/>
      <c r="B112" s="182"/>
      <c r="C112" s="182"/>
      <c r="D112" s="182"/>
      <c r="E112" s="182"/>
      <c r="F112" s="182">
        <v>2.1</v>
      </c>
      <c r="G112" s="182">
        <v>0.9</v>
      </c>
      <c r="H112" s="182">
        <v>2</v>
      </c>
      <c r="I112" s="182"/>
      <c r="J112" s="182"/>
      <c r="K112" s="183">
        <f>F112*G112*H112</f>
        <v>3.7800000000000002</v>
      </c>
    </row>
    <row r="113" spans="1:11" x14ac:dyDescent="0.25">
      <c r="A113" s="181"/>
      <c r="B113" s="184"/>
      <c r="C113" s="182"/>
      <c r="D113" s="182"/>
      <c r="E113" s="182"/>
      <c r="F113" s="182"/>
      <c r="G113" s="182"/>
      <c r="H113" s="182"/>
      <c r="I113" s="182"/>
      <c r="J113" s="182"/>
      <c r="K113" s="183"/>
    </row>
    <row r="114" spans="1:11" x14ac:dyDescent="0.25">
      <c r="A114" s="181"/>
      <c r="B114" s="270" t="s">
        <v>255</v>
      </c>
      <c r="C114" s="270"/>
      <c r="D114" s="270"/>
      <c r="E114" s="270"/>
      <c r="F114" s="270"/>
      <c r="G114" s="270"/>
      <c r="H114" s="270"/>
      <c r="I114" s="270"/>
      <c r="J114" s="270"/>
      <c r="K114" s="271">
        <f>K112+K113</f>
        <v>3.7800000000000002</v>
      </c>
    </row>
    <row r="115" spans="1:11" ht="15.75" thickBot="1" x14ac:dyDescent="0.3">
      <c r="A115" s="181"/>
      <c r="B115" s="182"/>
      <c r="C115" s="182"/>
      <c r="D115" s="182"/>
      <c r="E115" s="182"/>
      <c r="F115" s="182"/>
      <c r="G115" s="182"/>
      <c r="H115" s="182"/>
      <c r="I115" s="182"/>
      <c r="J115" s="182"/>
      <c r="K115" s="183"/>
    </row>
    <row r="116" spans="1:11" ht="15.75" thickBot="1" x14ac:dyDescent="0.3">
      <c r="A116" s="281" t="s">
        <v>66</v>
      </c>
      <c r="B116" s="282" t="str">
        <f>Planilha!C30</f>
        <v>PISO</v>
      </c>
      <c r="C116" s="283"/>
      <c r="D116" s="283"/>
      <c r="E116" s="283"/>
      <c r="F116" s="283"/>
      <c r="G116" s="283"/>
      <c r="H116" s="283"/>
      <c r="I116" s="283"/>
      <c r="J116" s="283"/>
      <c r="K116" s="284"/>
    </row>
    <row r="117" spans="1:11" ht="30" customHeight="1" x14ac:dyDescent="0.25">
      <c r="A117" s="275" t="s">
        <v>67</v>
      </c>
      <c r="B117" s="378" t="str">
        <f>Planilha!C31</f>
        <v>PISO EM GRANILITE, MARMORITE OU GRANITINA ESPESSURA 8 MM, INCLUSO JUNTAS DE DILATACAO PLASTICAS</v>
      </c>
      <c r="C117" s="378"/>
      <c r="D117" s="378"/>
      <c r="E117" s="378"/>
      <c r="F117" s="378"/>
      <c r="G117" s="378"/>
      <c r="H117" s="378"/>
      <c r="I117" s="378"/>
      <c r="J117" s="378"/>
      <c r="K117" s="379"/>
    </row>
    <row r="118" spans="1:11" x14ac:dyDescent="0.25">
      <c r="A118" s="181"/>
      <c r="B118" s="182"/>
      <c r="C118" s="182"/>
      <c r="D118" s="182"/>
      <c r="E118" s="182"/>
      <c r="F118" s="182" t="s">
        <v>256</v>
      </c>
      <c r="G118" s="182" t="s">
        <v>257</v>
      </c>
      <c r="H118" s="182"/>
      <c r="I118" s="182"/>
      <c r="J118" s="182"/>
      <c r="K118" s="183" t="s">
        <v>277</v>
      </c>
    </row>
    <row r="119" spans="1:11" x14ac:dyDescent="0.25">
      <c r="A119" s="181"/>
      <c r="B119" s="182"/>
      <c r="C119" s="182"/>
      <c r="D119" s="182"/>
      <c r="E119" s="182"/>
      <c r="F119" s="182">
        <v>5</v>
      </c>
      <c r="G119" s="182">
        <v>1</v>
      </c>
      <c r="H119" s="182"/>
      <c r="I119" s="182"/>
      <c r="J119" s="182"/>
      <c r="K119" s="185">
        <f>F119*G119</f>
        <v>5</v>
      </c>
    </row>
    <row r="120" spans="1:11" x14ac:dyDescent="0.25">
      <c r="A120" s="181"/>
      <c r="B120" s="184"/>
      <c r="C120" s="182"/>
      <c r="D120" s="182"/>
      <c r="E120" s="182"/>
      <c r="F120" s="182"/>
      <c r="G120" s="182"/>
      <c r="H120" s="182"/>
      <c r="I120" s="182"/>
      <c r="J120" s="182"/>
      <c r="K120" s="183"/>
    </row>
    <row r="121" spans="1:11" ht="15.75" thickBot="1" x14ac:dyDescent="0.3">
      <c r="A121" s="190"/>
      <c r="B121" s="273" t="s">
        <v>255</v>
      </c>
      <c r="C121" s="273"/>
      <c r="D121" s="273"/>
      <c r="E121" s="273"/>
      <c r="F121" s="273"/>
      <c r="G121" s="273"/>
      <c r="H121" s="273"/>
      <c r="I121" s="273"/>
      <c r="J121" s="273"/>
      <c r="K121" s="274">
        <f>K119</f>
        <v>5</v>
      </c>
    </row>
    <row r="129" spans="2:8" x14ac:dyDescent="0.25">
      <c r="B129" s="73"/>
    </row>
    <row r="137" spans="2:8" x14ac:dyDescent="0.25">
      <c r="B137" s="73"/>
    </row>
    <row r="142" spans="2:8" x14ac:dyDescent="0.25">
      <c r="H142" s="73"/>
    </row>
    <row r="143" spans="2:8" x14ac:dyDescent="0.25">
      <c r="H143" s="73"/>
    </row>
  </sheetData>
  <mergeCells count="10">
    <mergeCell ref="B110:K110"/>
    <mergeCell ref="A1:K1"/>
    <mergeCell ref="B117:K117"/>
    <mergeCell ref="B4:K4"/>
    <mergeCell ref="B19:K19"/>
    <mergeCell ref="B25:K25"/>
    <mergeCell ref="B32:K32"/>
    <mergeCell ref="B53:K53"/>
    <mergeCell ref="B59:K59"/>
    <mergeCell ref="B65:K65"/>
  </mergeCells>
  <pageMargins left="1.1811023622047245" right="0.78740157480314965" top="0.78740157480314965" bottom="0.78740157480314965" header="0" footer="0"/>
  <pageSetup paperSize="9" scale="80" orientation="portrait" verticalDpi="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9"/>
  <dimension ref="B2:H39"/>
  <sheetViews>
    <sheetView view="pageBreakPreview" zoomScaleNormal="100" zoomScaleSheetLayoutView="100" workbookViewId="0">
      <selection activeCell="D37" sqref="D37"/>
    </sheetView>
  </sheetViews>
  <sheetFormatPr defaultRowHeight="15" x14ac:dyDescent="0.25"/>
  <cols>
    <col min="2" max="2" width="12.85546875" bestFit="1" customWidth="1"/>
    <col min="3" max="3" width="44.85546875" customWidth="1"/>
    <col min="4" max="4" width="12.7109375" bestFit="1" customWidth="1"/>
    <col min="5" max="5" width="10.140625" bestFit="1" customWidth="1"/>
    <col min="6" max="6" width="10.28515625" bestFit="1" customWidth="1"/>
    <col min="7" max="7" width="15.5703125" bestFit="1" customWidth="1"/>
    <col min="8" max="8" width="0" hidden="1" customWidth="1"/>
  </cols>
  <sheetData>
    <row r="2" spans="2:7" ht="15.75" hidden="1" thickBot="1" x14ac:dyDescent="0.3"/>
    <row r="3" spans="2:7" ht="16.5" hidden="1" thickBot="1" x14ac:dyDescent="0.3">
      <c r="B3" s="383" t="s">
        <v>60</v>
      </c>
      <c r="C3" s="384"/>
      <c r="D3" s="384"/>
      <c r="E3" s="384"/>
      <c r="F3" s="384"/>
      <c r="G3" s="385"/>
    </row>
    <row r="4" spans="2:7" ht="60" hidden="1" customHeight="1" thickBot="1" x14ac:dyDescent="0.3">
      <c r="B4" s="380" t="s">
        <v>78</v>
      </c>
      <c r="C4" s="381"/>
      <c r="D4" s="381"/>
      <c r="E4" s="381"/>
      <c r="F4" s="381"/>
      <c r="G4" s="382"/>
    </row>
    <row r="5" spans="2:7" ht="15.75" hidden="1" thickBot="1" x14ac:dyDescent="0.3">
      <c r="B5" s="12" t="s">
        <v>34</v>
      </c>
      <c r="C5" s="13" t="s">
        <v>28</v>
      </c>
      <c r="D5" s="71" t="s">
        <v>29</v>
      </c>
      <c r="E5" s="71" t="s">
        <v>30</v>
      </c>
      <c r="F5" s="71" t="s">
        <v>31</v>
      </c>
      <c r="G5" s="72" t="s">
        <v>32</v>
      </c>
    </row>
    <row r="6" spans="2:7" hidden="1" x14ac:dyDescent="0.25">
      <c r="B6" s="10" t="s">
        <v>0</v>
      </c>
      <c r="C6" s="11" t="s">
        <v>88</v>
      </c>
      <c r="D6" s="70" t="s">
        <v>29</v>
      </c>
      <c r="E6" s="8">
        <v>1</v>
      </c>
      <c r="F6" s="8">
        <v>107.5</v>
      </c>
      <c r="G6" s="9">
        <v>107.5</v>
      </c>
    </row>
    <row r="7" spans="2:7" hidden="1" x14ac:dyDescent="0.25">
      <c r="B7" s="6" t="s">
        <v>83</v>
      </c>
      <c r="C7" s="5" t="s">
        <v>79</v>
      </c>
      <c r="D7" s="15" t="s">
        <v>87</v>
      </c>
      <c r="E7" s="1">
        <v>0.25</v>
      </c>
      <c r="F7" s="1">
        <v>4.05</v>
      </c>
      <c r="G7" s="9">
        <f>ROUND(E7*F7,2)</f>
        <v>1.01</v>
      </c>
    </row>
    <row r="8" spans="2:7" hidden="1" x14ac:dyDescent="0.25">
      <c r="B8" s="7" t="s">
        <v>84</v>
      </c>
      <c r="C8" s="5" t="s">
        <v>80</v>
      </c>
      <c r="D8" s="15" t="s">
        <v>87</v>
      </c>
      <c r="E8" s="1">
        <v>0.5</v>
      </c>
      <c r="F8" s="1">
        <v>4.05</v>
      </c>
      <c r="G8" s="9">
        <f>ROUND(E8*F8,2)</f>
        <v>2.0299999999999998</v>
      </c>
    </row>
    <row r="9" spans="2:7" hidden="1" x14ac:dyDescent="0.25">
      <c r="B9" s="6" t="s">
        <v>85</v>
      </c>
      <c r="C9" s="5" t="s">
        <v>81</v>
      </c>
      <c r="D9" s="15" t="s">
        <v>87</v>
      </c>
      <c r="E9" s="1">
        <v>0.5</v>
      </c>
      <c r="F9" s="1">
        <v>1.83</v>
      </c>
      <c r="G9" s="9">
        <f>ROUND(E9*F9,2)</f>
        <v>0.92</v>
      </c>
    </row>
    <row r="10" spans="2:7" ht="15.75" hidden="1" thickBot="1" x14ac:dyDescent="0.3">
      <c r="B10" s="6" t="s">
        <v>86</v>
      </c>
      <c r="C10" s="4" t="s">
        <v>82</v>
      </c>
      <c r="D10" s="15" t="s">
        <v>87</v>
      </c>
      <c r="E10" s="1">
        <v>0.25</v>
      </c>
      <c r="F10" s="1">
        <v>2.0099999999999998</v>
      </c>
      <c r="G10" s="9">
        <f>ROUND(E10*F10,2)</f>
        <v>0.5</v>
      </c>
    </row>
    <row r="11" spans="2:7" hidden="1" x14ac:dyDescent="0.25">
      <c r="B11" s="16" t="s">
        <v>41</v>
      </c>
      <c r="C11" s="24" t="s">
        <v>42</v>
      </c>
      <c r="D11" s="17" t="s">
        <v>43</v>
      </c>
      <c r="E11" s="17" t="s">
        <v>44</v>
      </c>
      <c r="F11" s="20" t="s">
        <v>45</v>
      </c>
      <c r="G11" s="22" t="s">
        <v>46</v>
      </c>
    </row>
    <row r="12" spans="2:7" ht="15.75" hidden="1" thickBot="1" x14ac:dyDescent="0.3">
      <c r="B12" s="18">
        <v>0</v>
      </c>
      <c r="C12" s="19">
        <f>G6</f>
        <v>107.5</v>
      </c>
      <c r="D12" s="19">
        <f>SUM(G7:G8)</f>
        <v>3.04</v>
      </c>
      <c r="E12" s="19">
        <f>SUM(G9:G10)</f>
        <v>1.42</v>
      </c>
      <c r="F12" s="21">
        <v>0</v>
      </c>
      <c r="G12" s="23">
        <f>SUM(G6:G10)</f>
        <v>111.96000000000001</v>
      </c>
    </row>
    <row r="13" spans="2:7" hidden="1" x14ac:dyDescent="0.25"/>
    <row r="14" spans="2:7" ht="15.75" hidden="1" thickBot="1" x14ac:dyDescent="0.3"/>
    <row r="15" spans="2:7" ht="16.5" hidden="1" thickBot="1" x14ac:dyDescent="0.3">
      <c r="B15" s="383" t="s">
        <v>60</v>
      </c>
      <c r="C15" s="384"/>
      <c r="D15" s="384"/>
      <c r="E15" s="384"/>
      <c r="F15" s="384"/>
      <c r="G15" s="385"/>
    </row>
    <row r="16" spans="2:7" ht="61.5" hidden="1" customHeight="1" thickBot="1" x14ac:dyDescent="0.3">
      <c r="B16" s="380" t="s">
        <v>89</v>
      </c>
      <c r="C16" s="381"/>
      <c r="D16" s="381"/>
      <c r="E16" s="381"/>
      <c r="F16" s="381"/>
      <c r="G16" s="382"/>
    </row>
    <row r="17" spans="2:7" ht="15.75" hidden="1" thickBot="1" x14ac:dyDescent="0.3">
      <c r="B17" s="12" t="s">
        <v>34</v>
      </c>
      <c r="C17" s="13" t="s">
        <v>28</v>
      </c>
      <c r="D17" s="71" t="s">
        <v>29</v>
      </c>
      <c r="E17" s="71" t="s">
        <v>30</v>
      </c>
      <c r="F17" s="71" t="s">
        <v>31</v>
      </c>
      <c r="G17" s="72" t="s">
        <v>32</v>
      </c>
    </row>
    <row r="18" spans="2:7" ht="15.75" hidden="1" customHeight="1" x14ac:dyDescent="0.25">
      <c r="B18" s="10" t="s">
        <v>0</v>
      </c>
      <c r="C18" s="11" t="s">
        <v>90</v>
      </c>
      <c r="D18" s="70" t="s">
        <v>29</v>
      </c>
      <c r="E18" s="8">
        <v>1</v>
      </c>
      <c r="F18" s="8">
        <v>107.5</v>
      </c>
      <c r="G18" s="9">
        <v>302.57</v>
      </c>
    </row>
    <row r="19" spans="2:7" hidden="1" x14ac:dyDescent="0.25">
      <c r="B19" s="6" t="s">
        <v>83</v>
      </c>
      <c r="C19" s="5" t="s">
        <v>79</v>
      </c>
      <c r="D19" s="15" t="s">
        <v>87</v>
      </c>
      <c r="E19" s="1">
        <v>0.25</v>
      </c>
      <c r="F19" s="1">
        <v>4.05</v>
      </c>
      <c r="G19" s="9">
        <f>ROUND(E19*F19,2)</f>
        <v>1.01</v>
      </c>
    </row>
    <row r="20" spans="2:7" hidden="1" x14ac:dyDescent="0.25">
      <c r="B20" s="7" t="s">
        <v>84</v>
      </c>
      <c r="C20" s="5" t="s">
        <v>80</v>
      </c>
      <c r="D20" s="15" t="s">
        <v>87</v>
      </c>
      <c r="E20" s="1">
        <v>0.5</v>
      </c>
      <c r="F20" s="1">
        <v>4.05</v>
      </c>
      <c r="G20" s="9">
        <f>ROUND(E20*F20,2)</f>
        <v>2.0299999999999998</v>
      </c>
    </row>
    <row r="21" spans="2:7" hidden="1" x14ac:dyDescent="0.25">
      <c r="B21" s="6" t="s">
        <v>85</v>
      </c>
      <c r="C21" s="5" t="s">
        <v>81</v>
      </c>
      <c r="D21" s="15" t="s">
        <v>87</v>
      </c>
      <c r="E21" s="1">
        <v>0.5</v>
      </c>
      <c r="F21" s="1">
        <v>1.83</v>
      </c>
      <c r="G21" s="9">
        <f>ROUND(E21*F21,2)</f>
        <v>0.92</v>
      </c>
    </row>
    <row r="22" spans="2:7" ht="15.75" hidden="1" thickBot="1" x14ac:dyDescent="0.3">
      <c r="B22" s="6" t="s">
        <v>86</v>
      </c>
      <c r="C22" s="4" t="s">
        <v>82</v>
      </c>
      <c r="D22" s="15" t="s">
        <v>87</v>
      </c>
      <c r="E22" s="1">
        <v>0.25</v>
      </c>
      <c r="F22" s="1">
        <v>2.0099999999999998</v>
      </c>
      <c r="G22" s="9">
        <f>ROUND(E22*F22,2)</f>
        <v>0.5</v>
      </c>
    </row>
    <row r="23" spans="2:7" hidden="1" x14ac:dyDescent="0.25">
      <c r="B23" s="16" t="s">
        <v>41</v>
      </c>
      <c r="C23" s="24" t="s">
        <v>42</v>
      </c>
      <c r="D23" s="17" t="s">
        <v>43</v>
      </c>
      <c r="E23" s="17" t="s">
        <v>44</v>
      </c>
      <c r="F23" s="20" t="s">
        <v>45</v>
      </c>
      <c r="G23" s="22" t="s">
        <v>46</v>
      </c>
    </row>
    <row r="24" spans="2:7" ht="15.75" hidden="1" thickBot="1" x14ac:dyDescent="0.3">
      <c r="B24" s="18">
        <v>0</v>
      </c>
      <c r="C24" s="19">
        <f>G18</f>
        <v>302.57</v>
      </c>
      <c r="D24" s="19">
        <f>SUM(G19:G20)</f>
        <v>3.04</v>
      </c>
      <c r="E24" s="19">
        <f>SUM(G21:G22)</f>
        <v>1.42</v>
      </c>
      <c r="F24" s="21">
        <v>0</v>
      </c>
      <c r="G24" s="23">
        <f>SUM(G18:G22)</f>
        <v>307.02999999999997</v>
      </c>
    </row>
    <row r="25" spans="2:7" hidden="1" x14ac:dyDescent="0.25"/>
    <row r="26" spans="2:7" hidden="1" x14ac:dyDescent="0.25"/>
    <row r="27" spans="2:7" hidden="1" x14ac:dyDescent="0.25"/>
    <row r="30" spans="2:7" ht="15.75" thickBot="1" x14ac:dyDescent="0.3"/>
    <row r="31" spans="2:7" ht="16.5" thickBot="1" x14ac:dyDescent="0.3">
      <c r="B31" s="383" t="s">
        <v>60</v>
      </c>
      <c r="C31" s="384"/>
      <c r="D31" s="384"/>
      <c r="E31" s="384"/>
      <c r="F31" s="384"/>
      <c r="G31" s="385"/>
    </row>
    <row r="32" spans="2:7" ht="65.25" customHeight="1" thickBot="1" x14ac:dyDescent="0.3">
      <c r="B32" s="380" t="s">
        <v>167</v>
      </c>
      <c r="C32" s="381"/>
      <c r="D32" s="381"/>
      <c r="E32" s="381"/>
      <c r="F32" s="381"/>
      <c r="G32" s="382"/>
    </row>
    <row r="33" spans="2:8" ht="15.75" thickBot="1" x14ac:dyDescent="0.3">
      <c r="B33" s="12" t="s">
        <v>34</v>
      </c>
      <c r="C33" s="13" t="s">
        <v>28</v>
      </c>
      <c r="D33" s="71" t="s">
        <v>29</v>
      </c>
      <c r="E33" s="71" t="s">
        <v>30</v>
      </c>
      <c r="F33" s="71" t="s">
        <v>31</v>
      </c>
      <c r="G33" s="72" t="s">
        <v>32</v>
      </c>
    </row>
    <row r="34" spans="2:8" x14ac:dyDescent="0.25">
      <c r="B34" s="10" t="s">
        <v>196</v>
      </c>
      <c r="C34" s="11" t="s">
        <v>224</v>
      </c>
      <c r="D34" s="70" t="s">
        <v>65</v>
      </c>
      <c r="E34" s="61">
        <v>1</v>
      </c>
      <c r="F34" s="85">
        <v>0.5</v>
      </c>
      <c r="G34" s="86">
        <f>E34*F34</f>
        <v>0.5</v>
      </c>
      <c r="H34" s="8">
        <v>1.82</v>
      </c>
    </row>
    <row r="35" spans="2:8" x14ac:dyDescent="0.25">
      <c r="B35" s="7" t="s">
        <v>190</v>
      </c>
      <c r="C35" s="5" t="s">
        <v>221</v>
      </c>
      <c r="D35" s="15" t="s">
        <v>87</v>
      </c>
      <c r="E35" s="2">
        <v>0.1</v>
      </c>
      <c r="F35" s="85">
        <f>H35*0.97</f>
        <v>7.6435999999999993</v>
      </c>
      <c r="G35" s="86">
        <f>ROUND(E35*F35,2)</f>
        <v>0.76</v>
      </c>
      <c r="H35" s="1">
        <v>7.88</v>
      </c>
    </row>
    <row r="36" spans="2:8" x14ac:dyDescent="0.25">
      <c r="B36" s="93" t="s">
        <v>191</v>
      </c>
      <c r="C36" s="5" t="s">
        <v>193</v>
      </c>
      <c r="D36" s="15" t="s">
        <v>87</v>
      </c>
      <c r="E36" s="1">
        <v>0.1</v>
      </c>
      <c r="F36" s="61">
        <v>5.0599999999999996</v>
      </c>
      <c r="G36" s="9">
        <f>ROUND(E36*F36,2)</f>
        <v>0.51</v>
      </c>
      <c r="H36" s="1">
        <v>1.83</v>
      </c>
    </row>
    <row r="37" spans="2:8" ht="15.75" thickBot="1" x14ac:dyDescent="0.3">
      <c r="B37" s="92" t="s">
        <v>192</v>
      </c>
      <c r="C37" s="5" t="s">
        <v>194</v>
      </c>
      <c r="D37" s="15" t="s">
        <v>87</v>
      </c>
      <c r="E37" s="1">
        <v>0.1</v>
      </c>
      <c r="F37" s="61">
        <v>3.41</v>
      </c>
      <c r="G37" s="9">
        <f>ROUND(E37*F37,2)</f>
        <v>0.34</v>
      </c>
      <c r="H37" s="1">
        <v>1.78</v>
      </c>
    </row>
    <row r="38" spans="2:8" x14ac:dyDescent="0.25">
      <c r="B38" s="16" t="s">
        <v>41</v>
      </c>
      <c r="C38" s="24" t="s">
        <v>42</v>
      </c>
      <c r="D38" s="17" t="s">
        <v>43</v>
      </c>
      <c r="E38" s="17" t="s">
        <v>44</v>
      </c>
      <c r="F38" s="20" t="s">
        <v>45</v>
      </c>
      <c r="G38" s="22" t="s">
        <v>46</v>
      </c>
    </row>
    <row r="39" spans="2:8" ht="15.75" thickBot="1" x14ac:dyDescent="0.3">
      <c r="B39" s="18">
        <v>0</v>
      </c>
      <c r="C39" s="94">
        <f>G34</f>
        <v>0.5</v>
      </c>
      <c r="D39" s="94">
        <f>G35+G36+G37</f>
        <v>1.61</v>
      </c>
      <c r="E39" s="94">
        <f>D39*0.7431</f>
        <v>1.196391</v>
      </c>
      <c r="F39" s="21">
        <v>0</v>
      </c>
      <c r="G39" s="87">
        <f>SUM(G34:G37)+0.01</f>
        <v>2.1199999999999997</v>
      </c>
    </row>
  </sheetData>
  <mergeCells count="6">
    <mergeCell ref="B32:G32"/>
    <mergeCell ref="B3:G3"/>
    <mergeCell ref="B4:G4"/>
    <mergeCell ref="B15:G15"/>
    <mergeCell ref="B16:G16"/>
    <mergeCell ref="B31:G31"/>
  </mergeCells>
  <pageMargins left="1.1811023622047245" right="0.78740157480314965" top="0.78740157480314965" bottom="0.78740157480314965" header="0" footer="0"/>
  <pageSetup paperSize="9" scale="75" orientation="portrait" verticalDpi="3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30"/>
  <dimension ref="B2:H39"/>
  <sheetViews>
    <sheetView view="pageBreakPreview" zoomScaleNormal="100" zoomScaleSheetLayoutView="100" workbookViewId="0">
      <selection activeCell="C35" sqref="C35"/>
    </sheetView>
  </sheetViews>
  <sheetFormatPr defaultRowHeight="15" x14ac:dyDescent="0.25"/>
  <cols>
    <col min="2" max="2" width="12.85546875" bestFit="1" customWidth="1"/>
    <col min="3" max="3" width="44.85546875" customWidth="1"/>
    <col min="4" max="4" width="12.7109375" bestFit="1" customWidth="1"/>
    <col min="5" max="5" width="10.140625" bestFit="1" customWidth="1"/>
    <col min="6" max="6" width="10.28515625" bestFit="1" customWidth="1"/>
    <col min="7" max="7" width="15.5703125" bestFit="1" customWidth="1"/>
    <col min="8" max="8" width="0" hidden="1" customWidth="1"/>
  </cols>
  <sheetData>
    <row r="2" spans="2:7" ht="15.75" hidden="1" thickBot="1" x14ac:dyDescent="0.3"/>
    <row r="3" spans="2:7" ht="16.5" hidden="1" thickBot="1" x14ac:dyDescent="0.3">
      <c r="B3" s="383" t="s">
        <v>60</v>
      </c>
      <c r="C3" s="384"/>
      <c r="D3" s="384"/>
      <c r="E3" s="384"/>
      <c r="F3" s="384"/>
      <c r="G3" s="385"/>
    </row>
    <row r="4" spans="2:7" ht="60" hidden="1" customHeight="1" thickBot="1" x14ac:dyDescent="0.3">
      <c r="B4" s="380" t="s">
        <v>78</v>
      </c>
      <c r="C4" s="381"/>
      <c r="D4" s="381"/>
      <c r="E4" s="381"/>
      <c r="F4" s="381"/>
      <c r="G4" s="382"/>
    </row>
    <row r="5" spans="2:7" ht="15.75" hidden="1" thickBot="1" x14ac:dyDescent="0.3">
      <c r="B5" s="12" t="s">
        <v>34</v>
      </c>
      <c r="C5" s="13" t="s">
        <v>28</v>
      </c>
      <c r="D5" s="71" t="s">
        <v>29</v>
      </c>
      <c r="E5" s="71" t="s">
        <v>30</v>
      </c>
      <c r="F5" s="71" t="s">
        <v>31</v>
      </c>
      <c r="G5" s="72" t="s">
        <v>32</v>
      </c>
    </row>
    <row r="6" spans="2:7" hidden="1" x14ac:dyDescent="0.25">
      <c r="B6" s="10" t="s">
        <v>0</v>
      </c>
      <c r="C6" s="11" t="s">
        <v>88</v>
      </c>
      <c r="D6" s="70" t="s">
        <v>29</v>
      </c>
      <c r="E6" s="8">
        <v>1</v>
      </c>
      <c r="F6" s="8">
        <v>107.5</v>
      </c>
      <c r="G6" s="9">
        <v>107.5</v>
      </c>
    </row>
    <row r="7" spans="2:7" hidden="1" x14ac:dyDescent="0.25">
      <c r="B7" s="6" t="s">
        <v>83</v>
      </c>
      <c r="C7" s="5" t="s">
        <v>79</v>
      </c>
      <c r="D7" s="15" t="s">
        <v>87</v>
      </c>
      <c r="E7" s="1">
        <v>0.25</v>
      </c>
      <c r="F7" s="1">
        <v>4.05</v>
      </c>
      <c r="G7" s="9">
        <f>ROUND(E7*F7,2)</f>
        <v>1.01</v>
      </c>
    </row>
    <row r="8" spans="2:7" hidden="1" x14ac:dyDescent="0.25">
      <c r="B8" s="7" t="s">
        <v>84</v>
      </c>
      <c r="C8" s="5" t="s">
        <v>80</v>
      </c>
      <c r="D8" s="15" t="s">
        <v>87</v>
      </c>
      <c r="E8" s="1">
        <v>0.5</v>
      </c>
      <c r="F8" s="1">
        <v>4.05</v>
      </c>
      <c r="G8" s="9">
        <f>ROUND(E8*F8,2)</f>
        <v>2.0299999999999998</v>
      </c>
    </row>
    <row r="9" spans="2:7" hidden="1" x14ac:dyDescent="0.25">
      <c r="B9" s="6" t="s">
        <v>85</v>
      </c>
      <c r="C9" s="5" t="s">
        <v>81</v>
      </c>
      <c r="D9" s="15" t="s">
        <v>87</v>
      </c>
      <c r="E9" s="1">
        <v>0.5</v>
      </c>
      <c r="F9" s="1">
        <v>1.83</v>
      </c>
      <c r="G9" s="9">
        <f>ROUND(E9*F9,2)</f>
        <v>0.92</v>
      </c>
    </row>
    <row r="10" spans="2:7" ht="15.75" hidden="1" thickBot="1" x14ac:dyDescent="0.3">
      <c r="B10" s="6" t="s">
        <v>86</v>
      </c>
      <c r="C10" s="4" t="s">
        <v>82</v>
      </c>
      <c r="D10" s="15" t="s">
        <v>87</v>
      </c>
      <c r="E10" s="1">
        <v>0.25</v>
      </c>
      <c r="F10" s="1">
        <v>2.0099999999999998</v>
      </c>
      <c r="G10" s="9">
        <f>ROUND(E10*F10,2)</f>
        <v>0.5</v>
      </c>
    </row>
    <row r="11" spans="2:7" hidden="1" x14ac:dyDescent="0.25">
      <c r="B11" s="16" t="s">
        <v>41</v>
      </c>
      <c r="C11" s="24" t="s">
        <v>42</v>
      </c>
      <c r="D11" s="17" t="s">
        <v>43</v>
      </c>
      <c r="E11" s="17" t="s">
        <v>44</v>
      </c>
      <c r="F11" s="20" t="s">
        <v>45</v>
      </c>
      <c r="G11" s="22" t="s">
        <v>46</v>
      </c>
    </row>
    <row r="12" spans="2:7" ht="15.75" hidden="1" thickBot="1" x14ac:dyDescent="0.3">
      <c r="B12" s="18">
        <v>0</v>
      </c>
      <c r="C12" s="19">
        <f>G6</f>
        <v>107.5</v>
      </c>
      <c r="D12" s="19">
        <f>SUM(G7:G8)</f>
        <v>3.04</v>
      </c>
      <c r="E12" s="19">
        <f>SUM(G9:G10)</f>
        <v>1.42</v>
      </c>
      <c r="F12" s="21">
        <v>0</v>
      </c>
      <c r="G12" s="23">
        <f>SUM(G6:G10)</f>
        <v>111.96000000000001</v>
      </c>
    </row>
    <row r="13" spans="2:7" hidden="1" x14ac:dyDescent="0.25"/>
    <row r="14" spans="2:7" ht="15.75" hidden="1" thickBot="1" x14ac:dyDescent="0.3"/>
    <row r="15" spans="2:7" ht="16.5" hidden="1" thickBot="1" x14ac:dyDescent="0.3">
      <c r="B15" s="383" t="s">
        <v>60</v>
      </c>
      <c r="C15" s="384"/>
      <c r="D15" s="384"/>
      <c r="E15" s="384"/>
      <c r="F15" s="384"/>
      <c r="G15" s="385"/>
    </row>
    <row r="16" spans="2:7" ht="61.5" hidden="1" customHeight="1" thickBot="1" x14ac:dyDescent="0.3">
      <c r="B16" s="380" t="s">
        <v>89</v>
      </c>
      <c r="C16" s="381"/>
      <c r="D16" s="381"/>
      <c r="E16" s="381"/>
      <c r="F16" s="381"/>
      <c r="G16" s="382"/>
    </row>
    <row r="17" spans="2:7" ht="15.75" hidden="1" thickBot="1" x14ac:dyDescent="0.3">
      <c r="B17" s="12" t="s">
        <v>34</v>
      </c>
      <c r="C17" s="13" t="s">
        <v>28</v>
      </c>
      <c r="D17" s="71" t="s">
        <v>29</v>
      </c>
      <c r="E17" s="71" t="s">
        <v>30</v>
      </c>
      <c r="F17" s="71" t="s">
        <v>31</v>
      </c>
      <c r="G17" s="72" t="s">
        <v>32</v>
      </c>
    </row>
    <row r="18" spans="2:7" ht="15.75" hidden="1" customHeight="1" x14ac:dyDescent="0.25">
      <c r="B18" s="10" t="s">
        <v>0</v>
      </c>
      <c r="C18" s="11" t="s">
        <v>90</v>
      </c>
      <c r="D18" s="70" t="s">
        <v>29</v>
      </c>
      <c r="E18" s="8">
        <v>1</v>
      </c>
      <c r="F18" s="8">
        <v>107.5</v>
      </c>
      <c r="G18" s="9">
        <v>302.57</v>
      </c>
    </row>
    <row r="19" spans="2:7" hidden="1" x14ac:dyDescent="0.25">
      <c r="B19" s="6" t="s">
        <v>83</v>
      </c>
      <c r="C19" s="5" t="s">
        <v>79</v>
      </c>
      <c r="D19" s="15" t="s">
        <v>87</v>
      </c>
      <c r="E19" s="1">
        <v>0.25</v>
      </c>
      <c r="F19" s="1">
        <v>4.05</v>
      </c>
      <c r="G19" s="9">
        <f>ROUND(E19*F19,2)</f>
        <v>1.01</v>
      </c>
    </row>
    <row r="20" spans="2:7" hidden="1" x14ac:dyDescent="0.25">
      <c r="B20" s="7" t="s">
        <v>84</v>
      </c>
      <c r="C20" s="5" t="s">
        <v>80</v>
      </c>
      <c r="D20" s="15" t="s">
        <v>87</v>
      </c>
      <c r="E20" s="1">
        <v>0.5</v>
      </c>
      <c r="F20" s="1">
        <v>4.05</v>
      </c>
      <c r="G20" s="9">
        <f>ROUND(E20*F20,2)</f>
        <v>2.0299999999999998</v>
      </c>
    </row>
    <row r="21" spans="2:7" hidden="1" x14ac:dyDescent="0.25">
      <c r="B21" s="6" t="s">
        <v>85</v>
      </c>
      <c r="C21" s="5" t="s">
        <v>81</v>
      </c>
      <c r="D21" s="15" t="s">
        <v>87</v>
      </c>
      <c r="E21" s="1">
        <v>0.5</v>
      </c>
      <c r="F21" s="1">
        <v>1.83</v>
      </c>
      <c r="G21" s="9">
        <f>ROUND(E21*F21,2)</f>
        <v>0.92</v>
      </c>
    </row>
    <row r="22" spans="2:7" ht="15.75" hidden="1" thickBot="1" x14ac:dyDescent="0.3">
      <c r="B22" s="6" t="s">
        <v>86</v>
      </c>
      <c r="C22" s="4" t="s">
        <v>82</v>
      </c>
      <c r="D22" s="15" t="s">
        <v>87</v>
      </c>
      <c r="E22" s="1">
        <v>0.25</v>
      </c>
      <c r="F22" s="1">
        <v>2.0099999999999998</v>
      </c>
      <c r="G22" s="9">
        <f>ROUND(E22*F22,2)</f>
        <v>0.5</v>
      </c>
    </row>
    <row r="23" spans="2:7" hidden="1" x14ac:dyDescent="0.25">
      <c r="B23" s="16" t="s">
        <v>41</v>
      </c>
      <c r="C23" s="24" t="s">
        <v>42</v>
      </c>
      <c r="D23" s="17" t="s">
        <v>43</v>
      </c>
      <c r="E23" s="17" t="s">
        <v>44</v>
      </c>
      <c r="F23" s="20" t="s">
        <v>45</v>
      </c>
      <c r="G23" s="22" t="s">
        <v>46</v>
      </c>
    </row>
    <row r="24" spans="2:7" ht="15.75" hidden="1" thickBot="1" x14ac:dyDescent="0.3">
      <c r="B24" s="18">
        <v>0</v>
      </c>
      <c r="C24" s="19">
        <f>G18</f>
        <v>302.57</v>
      </c>
      <c r="D24" s="19">
        <f>SUM(G19:G20)</f>
        <v>3.04</v>
      </c>
      <c r="E24" s="19">
        <f>SUM(G21:G22)</f>
        <v>1.42</v>
      </c>
      <c r="F24" s="21">
        <v>0</v>
      </c>
      <c r="G24" s="23">
        <f>SUM(G18:G22)</f>
        <v>307.02999999999997</v>
      </c>
    </row>
    <row r="25" spans="2:7" hidden="1" x14ac:dyDescent="0.25"/>
    <row r="30" spans="2:7" ht="15.75" thickBot="1" x14ac:dyDescent="0.3"/>
    <row r="31" spans="2:7" ht="16.5" thickBot="1" x14ac:dyDescent="0.3">
      <c r="B31" s="383" t="s">
        <v>60</v>
      </c>
      <c r="C31" s="384"/>
      <c r="D31" s="384"/>
      <c r="E31" s="384"/>
      <c r="F31" s="384"/>
      <c r="G31" s="385"/>
    </row>
    <row r="32" spans="2:7" ht="65.25" customHeight="1" thickBot="1" x14ac:dyDescent="0.3">
      <c r="B32" s="380" t="s">
        <v>168</v>
      </c>
      <c r="C32" s="381"/>
      <c r="D32" s="381"/>
      <c r="E32" s="381"/>
      <c r="F32" s="381"/>
      <c r="G32" s="382"/>
    </row>
    <row r="33" spans="2:8" ht="15.75" thickBot="1" x14ac:dyDescent="0.3">
      <c r="B33" s="12" t="s">
        <v>34</v>
      </c>
      <c r="C33" s="13" t="s">
        <v>28</v>
      </c>
      <c r="D33" s="71" t="s">
        <v>29</v>
      </c>
      <c r="E33" s="71" t="s">
        <v>30</v>
      </c>
      <c r="F33" s="71" t="s">
        <v>31</v>
      </c>
      <c r="G33" s="72" t="s">
        <v>32</v>
      </c>
    </row>
    <row r="34" spans="2:8" x14ac:dyDescent="0.25">
      <c r="B34" s="10" t="s">
        <v>190</v>
      </c>
      <c r="C34" s="11" t="s">
        <v>225</v>
      </c>
      <c r="D34" s="70" t="s">
        <v>29</v>
      </c>
      <c r="E34" s="61">
        <v>1</v>
      </c>
      <c r="F34" s="85">
        <v>46.09</v>
      </c>
      <c r="G34" s="86">
        <f>E34*F34</f>
        <v>46.09</v>
      </c>
      <c r="H34" s="8">
        <v>1.82</v>
      </c>
    </row>
    <row r="35" spans="2:8" x14ac:dyDescent="0.25">
      <c r="B35" s="7" t="s">
        <v>196</v>
      </c>
      <c r="C35" s="5" t="s">
        <v>221</v>
      </c>
      <c r="D35" s="15" t="s">
        <v>87</v>
      </c>
      <c r="E35" s="2">
        <v>1</v>
      </c>
      <c r="F35" s="85">
        <f>H35*0.97</f>
        <v>7.6435999999999993</v>
      </c>
      <c r="G35" s="86">
        <f>ROUND(E35*F35,2)</f>
        <v>7.64</v>
      </c>
      <c r="H35" s="1">
        <v>7.88</v>
      </c>
    </row>
    <row r="36" spans="2:8" x14ac:dyDescent="0.25">
      <c r="B36" s="93" t="s">
        <v>191</v>
      </c>
      <c r="C36" s="5" t="s">
        <v>193</v>
      </c>
      <c r="D36" s="15" t="s">
        <v>87</v>
      </c>
      <c r="E36" s="1">
        <v>0.15</v>
      </c>
      <c r="F36" s="61">
        <v>5.0599999999999996</v>
      </c>
      <c r="G36" s="9">
        <f>ROUND(E36*F36,2)</f>
        <v>0.76</v>
      </c>
      <c r="H36" s="1">
        <v>1.83</v>
      </c>
    </row>
    <row r="37" spans="2:8" ht="15.75" thickBot="1" x14ac:dyDescent="0.3">
      <c r="B37" s="92" t="s">
        <v>192</v>
      </c>
      <c r="C37" s="5" t="s">
        <v>194</v>
      </c>
      <c r="D37" s="15" t="s">
        <v>87</v>
      </c>
      <c r="E37" s="1">
        <v>1</v>
      </c>
      <c r="F37" s="61">
        <v>3.41</v>
      </c>
      <c r="G37" s="9">
        <f>ROUND(E37*F37,2)</f>
        <v>3.41</v>
      </c>
      <c r="H37" s="1">
        <v>1.78</v>
      </c>
    </row>
    <row r="38" spans="2:8" x14ac:dyDescent="0.25">
      <c r="B38" s="16" t="s">
        <v>41</v>
      </c>
      <c r="C38" s="24" t="s">
        <v>42</v>
      </c>
      <c r="D38" s="17" t="s">
        <v>43</v>
      </c>
      <c r="E38" s="17" t="s">
        <v>44</v>
      </c>
      <c r="F38" s="20" t="s">
        <v>45</v>
      </c>
      <c r="G38" s="22" t="s">
        <v>46</v>
      </c>
    </row>
    <row r="39" spans="2:8" ht="15.75" thickBot="1" x14ac:dyDescent="0.3">
      <c r="B39" s="18">
        <v>0</v>
      </c>
      <c r="C39" s="94">
        <f>G34</f>
        <v>46.09</v>
      </c>
      <c r="D39" s="94">
        <f>G35+G36+G37</f>
        <v>11.81</v>
      </c>
      <c r="E39" s="94">
        <f>D39*0.7431</f>
        <v>8.7760110000000005</v>
      </c>
      <c r="F39" s="21">
        <v>0</v>
      </c>
      <c r="G39" s="87">
        <f>SUM(G34:G37)+0.01</f>
        <v>57.910000000000004</v>
      </c>
    </row>
  </sheetData>
  <mergeCells count="6">
    <mergeCell ref="B32:G32"/>
    <mergeCell ref="B3:G3"/>
    <mergeCell ref="B4:G4"/>
    <mergeCell ref="B15:G15"/>
    <mergeCell ref="B16:G16"/>
    <mergeCell ref="B31:G31"/>
  </mergeCells>
  <pageMargins left="1.1811023622047245" right="0.78740157480314965" top="0.78740157480314965" bottom="0.78740157480314965" header="0" footer="0"/>
  <pageSetup paperSize="9" scale="75" orientation="portrait" verticalDpi="30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31"/>
  <dimension ref="B2:H39"/>
  <sheetViews>
    <sheetView view="pageBreakPreview" zoomScaleNormal="100" zoomScaleSheetLayoutView="100" workbookViewId="0">
      <selection activeCell="C34" sqref="C34"/>
    </sheetView>
  </sheetViews>
  <sheetFormatPr defaultRowHeight="15" x14ac:dyDescent="0.25"/>
  <cols>
    <col min="2" max="2" width="12.85546875" bestFit="1" customWidth="1"/>
    <col min="3" max="3" width="44.85546875" customWidth="1"/>
    <col min="4" max="4" width="12.7109375" bestFit="1" customWidth="1"/>
    <col min="5" max="5" width="10.140625" bestFit="1" customWidth="1"/>
    <col min="6" max="6" width="10.28515625" bestFit="1" customWidth="1"/>
    <col min="7" max="7" width="15.5703125" bestFit="1" customWidth="1"/>
    <col min="8" max="8" width="0" hidden="1" customWidth="1"/>
  </cols>
  <sheetData>
    <row r="2" spans="2:7" ht="15.75" hidden="1" thickBot="1" x14ac:dyDescent="0.3"/>
    <row r="3" spans="2:7" ht="16.5" hidden="1" thickBot="1" x14ac:dyDescent="0.3">
      <c r="B3" s="383" t="s">
        <v>60</v>
      </c>
      <c r="C3" s="384"/>
      <c r="D3" s="384"/>
      <c r="E3" s="384"/>
      <c r="F3" s="384"/>
      <c r="G3" s="385"/>
    </row>
    <row r="4" spans="2:7" ht="60" hidden="1" customHeight="1" thickBot="1" x14ac:dyDescent="0.3">
      <c r="B4" s="380" t="s">
        <v>78</v>
      </c>
      <c r="C4" s="381"/>
      <c r="D4" s="381"/>
      <c r="E4" s="381"/>
      <c r="F4" s="381"/>
      <c r="G4" s="382"/>
    </row>
    <row r="5" spans="2:7" ht="15.75" hidden="1" thickBot="1" x14ac:dyDescent="0.3">
      <c r="B5" s="12" t="s">
        <v>34</v>
      </c>
      <c r="C5" s="13" t="s">
        <v>28</v>
      </c>
      <c r="D5" s="71" t="s">
        <v>29</v>
      </c>
      <c r="E5" s="71" t="s">
        <v>30</v>
      </c>
      <c r="F5" s="71" t="s">
        <v>31</v>
      </c>
      <c r="G5" s="72" t="s">
        <v>32</v>
      </c>
    </row>
    <row r="6" spans="2:7" hidden="1" x14ac:dyDescent="0.25">
      <c r="B6" s="10" t="s">
        <v>0</v>
      </c>
      <c r="C6" s="11" t="s">
        <v>88</v>
      </c>
      <c r="D6" s="70" t="s">
        <v>29</v>
      </c>
      <c r="E6" s="8">
        <v>1</v>
      </c>
      <c r="F6" s="8">
        <v>107.5</v>
      </c>
      <c r="G6" s="9">
        <v>107.5</v>
      </c>
    </row>
    <row r="7" spans="2:7" hidden="1" x14ac:dyDescent="0.25">
      <c r="B7" s="6" t="s">
        <v>83</v>
      </c>
      <c r="C7" s="5" t="s">
        <v>79</v>
      </c>
      <c r="D7" s="15" t="s">
        <v>87</v>
      </c>
      <c r="E7" s="1">
        <v>0.25</v>
      </c>
      <c r="F7" s="1">
        <v>4.05</v>
      </c>
      <c r="G7" s="9">
        <f>ROUND(E7*F7,2)</f>
        <v>1.01</v>
      </c>
    </row>
    <row r="8" spans="2:7" hidden="1" x14ac:dyDescent="0.25">
      <c r="B8" s="7" t="s">
        <v>84</v>
      </c>
      <c r="C8" s="5" t="s">
        <v>80</v>
      </c>
      <c r="D8" s="15" t="s">
        <v>87</v>
      </c>
      <c r="E8" s="1">
        <v>0.5</v>
      </c>
      <c r="F8" s="1">
        <v>4.05</v>
      </c>
      <c r="G8" s="9">
        <f>ROUND(E8*F8,2)</f>
        <v>2.0299999999999998</v>
      </c>
    </row>
    <row r="9" spans="2:7" hidden="1" x14ac:dyDescent="0.25">
      <c r="B9" s="6" t="s">
        <v>85</v>
      </c>
      <c r="C9" s="5" t="s">
        <v>81</v>
      </c>
      <c r="D9" s="15" t="s">
        <v>87</v>
      </c>
      <c r="E9" s="1">
        <v>0.5</v>
      </c>
      <c r="F9" s="1">
        <v>1.83</v>
      </c>
      <c r="G9" s="9">
        <f>ROUND(E9*F9,2)</f>
        <v>0.92</v>
      </c>
    </row>
    <row r="10" spans="2:7" ht="15.75" hidden="1" thickBot="1" x14ac:dyDescent="0.3">
      <c r="B10" s="6" t="s">
        <v>86</v>
      </c>
      <c r="C10" s="4" t="s">
        <v>82</v>
      </c>
      <c r="D10" s="15" t="s">
        <v>87</v>
      </c>
      <c r="E10" s="1">
        <v>0.25</v>
      </c>
      <c r="F10" s="1">
        <v>2.0099999999999998</v>
      </c>
      <c r="G10" s="9">
        <f>ROUND(E10*F10,2)</f>
        <v>0.5</v>
      </c>
    </row>
    <row r="11" spans="2:7" hidden="1" x14ac:dyDescent="0.25">
      <c r="B11" s="16" t="s">
        <v>41</v>
      </c>
      <c r="C11" s="24" t="s">
        <v>42</v>
      </c>
      <c r="D11" s="17" t="s">
        <v>43</v>
      </c>
      <c r="E11" s="17" t="s">
        <v>44</v>
      </c>
      <c r="F11" s="20" t="s">
        <v>45</v>
      </c>
      <c r="G11" s="22" t="s">
        <v>46</v>
      </c>
    </row>
    <row r="12" spans="2:7" ht="15.75" hidden="1" thickBot="1" x14ac:dyDescent="0.3">
      <c r="B12" s="18">
        <v>0</v>
      </c>
      <c r="C12" s="19">
        <f>G6</f>
        <v>107.5</v>
      </c>
      <c r="D12" s="19">
        <f>SUM(G7:G8)</f>
        <v>3.04</v>
      </c>
      <c r="E12" s="19">
        <f>SUM(G9:G10)</f>
        <v>1.42</v>
      </c>
      <c r="F12" s="21">
        <v>0</v>
      </c>
      <c r="G12" s="23">
        <f>SUM(G6:G10)</f>
        <v>111.96000000000001</v>
      </c>
    </row>
    <row r="13" spans="2:7" hidden="1" x14ac:dyDescent="0.25"/>
    <row r="14" spans="2:7" ht="15.75" hidden="1" thickBot="1" x14ac:dyDescent="0.3"/>
    <row r="15" spans="2:7" ht="16.5" hidden="1" thickBot="1" x14ac:dyDescent="0.3">
      <c r="B15" s="383" t="s">
        <v>60</v>
      </c>
      <c r="C15" s="384"/>
      <c r="D15" s="384"/>
      <c r="E15" s="384"/>
      <c r="F15" s="384"/>
      <c r="G15" s="385"/>
    </row>
    <row r="16" spans="2:7" ht="61.5" hidden="1" customHeight="1" thickBot="1" x14ac:dyDescent="0.3">
      <c r="B16" s="380" t="s">
        <v>89</v>
      </c>
      <c r="C16" s="381"/>
      <c r="D16" s="381"/>
      <c r="E16" s="381"/>
      <c r="F16" s="381"/>
      <c r="G16" s="382"/>
    </row>
    <row r="17" spans="2:7" ht="15.75" hidden="1" thickBot="1" x14ac:dyDescent="0.3">
      <c r="B17" s="12" t="s">
        <v>34</v>
      </c>
      <c r="C17" s="13" t="s">
        <v>28</v>
      </c>
      <c r="D17" s="71" t="s">
        <v>29</v>
      </c>
      <c r="E17" s="71" t="s">
        <v>30</v>
      </c>
      <c r="F17" s="71" t="s">
        <v>31</v>
      </c>
      <c r="G17" s="72" t="s">
        <v>32</v>
      </c>
    </row>
    <row r="18" spans="2:7" ht="15.75" hidden="1" customHeight="1" x14ac:dyDescent="0.25">
      <c r="B18" s="10" t="s">
        <v>0</v>
      </c>
      <c r="C18" s="11" t="s">
        <v>90</v>
      </c>
      <c r="D18" s="70" t="s">
        <v>29</v>
      </c>
      <c r="E18" s="8">
        <v>1</v>
      </c>
      <c r="F18" s="8">
        <v>107.5</v>
      </c>
      <c r="G18" s="9">
        <v>302.57</v>
      </c>
    </row>
    <row r="19" spans="2:7" hidden="1" x14ac:dyDescent="0.25">
      <c r="B19" s="6" t="s">
        <v>83</v>
      </c>
      <c r="C19" s="5" t="s">
        <v>79</v>
      </c>
      <c r="D19" s="15" t="s">
        <v>87</v>
      </c>
      <c r="E19" s="1">
        <v>0.25</v>
      </c>
      <c r="F19" s="1">
        <v>4.05</v>
      </c>
      <c r="G19" s="9">
        <f>ROUND(E19*F19,2)</f>
        <v>1.01</v>
      </c>
    </row>
    <row r="20" spans="2:7" hidden="1" x14ac:dyDescent="0.25">
      <c r="B20" s="7" t="s">
        <v>84</v>
      </c>
      <c r="C20" s="5" t="s">
        <v>80</v>
      </c>
      <c r="D20" s="15" t="s">
        <v>87</v>
      </c>
      <c r="E20" s="1">
        <v>0.5</v>
      </c>
      <c r="F20" s="1">
        <v>4.05</v>
      </c>
      <c r="G20" s="9">
        <f>ROUND(E20*F20,2)</f>
        <v>2.0299999999999998</v>
      </c>
    </row>
    <row r="21" spans="2:7" hidden="1" x14ac:dyDescent="0.25">
      <c r="B21" s="6" t="s">
        <v>85</v>
      </c>
      <c r="C21" s="5" t="s">
        <v>81</v>
      </c>
      <c r="D21" s="15" t="s">
        <v>87</v>
      </c>
      <c r="E21" s="1">
        <v>0.5</v>
      </c>
      <c r="F21" s="1">
        <v>1.83</v>
      </c>
      <c r="G21" s="9">
        <f>ROUND(E21*F21,2)</f>
        <v>0.92</v>
      </c>
    </row>
    <row r="22" spans="2:7" ht="15.75" hidden="1" thickBot="1" x14ac:dyDescent="0.3">
      <c r="B22" s="6" t="s">
        <v>86</v>
      </c>
      <c r="C22" s="4" t="s">
        <v>82</v>
      </c>
      <c r="D22" s="15" t="s">
        <v>87</v>
      </c>
      <c r="E22" s="1">
        <v>0.25</v>
      </c>
      <c r="F22" s="1">
        <v>2.0099999999999998</v>
      </c>
      <c r="G22" s="9">
        <f>ROUND(E22*F22,2)</f>
        <v>0.5</v>
      </c>
    </row>
    <row r="23" spans="2:7" hidden="1" x14ac:dyDescent="0.25">
      <c r="B23" s="16" t="s">
        <v>41</v>
      </c>
      <c r="C23" s="24" t="s">
        <v>42</v>
      </c>
      <c r="D23" s="17" t="s">
        <v>43</v>
      </c>
      <c r="E23" s="17" t="s">
        <v>44</v>
      </c>
      <c r="F23" s="20" t="s">
        <v>45</v>
      </c>
      <c r="G23" s="22" t="s">
        <v>46</v>
      </c>
    </row>
    <row r="24" spans="2:7" ht="15.75" hidden="1" thickBot="1" x14ac:dyDescent="0.3">
      <c r="B24" s="18">
        <v>0</v>
      </c>
      <c r="C24" s="19">
        <f>G18</f>
        <v>302.57</v>
      </c>
      <c r="D24" s="19">
        <f>SUM(G19:G20)</f>
        <v>3.04</v>
      </c>
      <c r="E24" s="19">
        <f>SUM(G21:G22)</f>
        <v>1.42</v>
      </c>
      <c r="F24" s="21">
        <v>0</v>
      </c>
      <c r="G24" s="23">
        <f>SUM(G18:G22)</f>
        <v>307.02999999999997</v>
      </c>
    </row>
    <row r="25" spans="2:7" hidden="1" x14ac:dyDescent="0.25"/>
    <row r="26" spans="2:7" hidden="1" x14ac:dyDescent="0.25"/>
    <row r="27" spans="2:7" hidden="1" x14ac:dyDescent="0.25"/>
    <row r="28" spans="2:7" hidden="1" x14ac:dyDescent="0.25"/>
    <row r="30" spans="2:7" ht="15.75" thickBot="1" x14ac:dyDescent="0.3"/>
    <row r="31" spans="2:7" ht="16.5" thickBot="1" x14ac:dyDescent="0.3">
      <c r="B31" s="383" t="s">
        <v>60</v>
      </c>
      <c r="C31" s="384"/>
      <c r="D31" s="384"/>
      <c r="E31" s="384"/>
      <c r="F31" s="384"/>
      <c r="G31" s="385"/>
    </row>
    <row r="32" spans="2:7" ht="65.25" customHeight="1" thickBot="1" x14ac:dyDescent="0.3">
      <c r="B32" s="380" t="s">
        <v>169</v>
      </c>
      <c r="C32" s="381"/>
      <c r="D32" s="381"/>
      <c r="E32" s="381"/>
      <c r="F32" s="381"/>
      <c r="G32" s="382"/>
    </row>
    <row r="33" spans="2:8" ht="15.75" thickBot="1" x14ac:dyDescent="0.3">
      <c r="B33" s="12" t="s">
        <v>34</v>
      </c>
      <c r="C33" s="13" t="s">
        <v>28</v>
      </c>
      <c r="D33" s="71" t="s">
        <v>29</v>
      </c>
      <c r="E33" s="71" t="s">
        <v>30</v>
      </c>
      <c r="F33" s="71" t="s">
        <v>31</v>
      </c>
      <c r="G33" s="72" t="s">
        <v>32</v>
      </c>
    </row>
    <row r="34" spans="2:8" x14ac:dyDescent="0.25">
      <c r="B34" s="10" t="s">
        <v>190</v>
      </c>
      <c r="C34" s="11" t="s">
        <v>226</v>
      </c>
      <c r="D34" s="70" t="s">
        <v>65</v>
      </c>
      <c r="E34" s="61">
        <v>1</v>
      </c>
      <c r="F34" s="85">
        <v>4.09</v>
      </c>
      <c r="G34" s="86">
        <f>E34*F34</f>
        <v>4.09</v>
      </c>
      <c r="H34" s="8">
        <v>1.82</v>
      </c>
    </row>
    <row r="35" spans="2:8" x14ac:dyDescent="0.25">
      <c r="B35" s="7" t="s">
        <v>214</v>
      </c>
      <c r="C35" s="5" t="s">
        <v>221</v>
      </c>
      <c r="D35" s="15" t="s">
        <v>87</v>
      </c>
      <c r="E35" s="2">
        <v>1</v>
      </c>
      <c r="F35" s="85">
        <f>H35*0.97</f>
        <v>7.6435999999999993</v>
      </c>
      <c r="G35" s="86">
        <f>ROUND(E35*F35,2)</f>
        <v>7.64</v>
      </c>
      <c r="H35" s="1">
        <v>7.88</v>
      </c>
    </row>
    <row r="36" spans="2:8" x14ac:dyDescent="0.25">
      <c r="B36" s="93" t="s">
        <v>191</v>
      </c>
      <c r="C36" s="5" t="s">
        <v>193</v>
      </c>
      <c r="D36" s="15" t="s">
        <v>87</v>
      </c>
      <c r="E36" s="1">
        <v>0.15</v>
      </c>
      <c r="F36" s="61">
        <v>5.0599999999999996</v>
      </c>
      <c r="G36" s="9">
        <f>ROUND(E36*F36,2)</f>
        <v>0.76</v>
      </c>
      <c r="H36" s="1">
        <v>1.83</v>
      </c>
    </row>
    <row r="37" spans="2:8" ht="15.75" thickBot="1" x14ac:dyDescent="0.3">
      <c r="B37" s="92" t="s">
        <v>192</v>
      </c>
      <c r="C37" s="5" t="s">
        <v>194</v>
      </c>
      <c r="D37" s="15" t="s">
        <v>87</v>
      </c>
      <c r="E37" s="1">
        <v>1</v>
      </c>
      <c r="F37" s="61">
        <v>3.41</v>
      </c>
      <c r="G37" s="9">
        <f>ROUND(E37*F37,2)</f>
        <v>3.41</v>
      </c>
      <c r="H37" s="1">
        <v>1.78</v>
      </c>
    </row>
    <row r="38" spans="2:8" x14ac:dyDescent="0.25">
      <c r="B38" s="16" t="s">
        <v>41</v>
      </c>
      <c r="C38" s="24" t="s">
        <v>42</v>
      </c>
      <c r="D38" s="17" t="s">
        <v>43</v>
      </c>
      <c r="E38" s="17" t="s">
        <v>44</v>
      </c>
      <c r="F38" s="20" t="s">
        <v>45</v>
      </c>
      <c r="G38" s="22" t="s">
        <v>46</v>
      </c>
    </row>
    <row r="39" spans="2:8" ht="15.75" thickBot="1" x14ac:dyDescent="0.3">
      <c r="B39" s="18">
        <v>0</v>
      </c>
      <c r="C39" s="94">
        <f>G34</f>
        <v>4.09</v>
      </c>
      <c r="D39" s="94">
        <f>G35+G36+G37</f>
        <v>11.81</v>
      </c>
      <c r="E39" s="94">
        <f>D39*0.7431</f>
        <v>8.7760110000000005</v>
      </c>
      <c r="F39" s="21">
        <v>0</v>
      </c>
      <c r="G39" s="87">
        <f>SUM(G34:G37)+0.01</f>
        <v>15.91</v>
      </c>
    </row>
  </sheetData>
  <mergeCells count="6">
    <mergeCell ref="B32:G32"/>
    <mergeCell ref="B3:G3"/>
    <mergeCell ref="B4:G4"/>
    <mergeCell ref="B15:G15"/>
    <mergeCell ref="B16:G16"/>
    <mergeCell ref="B31:G31"/>
  </mergeCells>
  <pageMargins left="1.1811023622047245" right="0.78740157480314965" top="0.78740157480314965" bottom="0.78740157480314965" header="0" footer="0"/>
  <pageSetup paperSize="9" scale="75" orientation="portrait" verticalDpi="3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32"/>
  <dimension ref="B2:H39"/>
  <sheetViews>
    <sheetView view="pageBreakPreview" zoomScaleNormal="100" zoomScaleSheetLayoutView="100" workbookViewId="0">
      <selection activeCell="F44" sqref="F44"/>
    </sheetView>
  </sheetViews>
  <sheetFormatPr defaultRowHeight="15" x14ac:dyDescent="0.25"/>
  <cols>
    <col min="2" max="2" width="12.85546875" bestFit="1" customWidth="1"/>
    <col min="3" max="3" width="44.85546875" customWidth="1"/>
    <col min="4" max="4" width="12.7109375" bestFit="1" customWidth="1"/>
    <col min="5" max="5" width="10.140625" bestFit="1" customWidth="1"/>
    <col min="6" max="6" width="10.28515625" bestFit="1" customWidth="1"/>
    <col min="7" max="7" width="15.5703125" bestFit="1" customWidth="1"/>
    <col min="8" max="8" width="0" hidden="1" customWidth="1"/>
  </cols>
  <sheetData>
    <row r="2" spans="2:7" ht="15.75" hidden="1" thickBot="1" x14ac:dyDescent="0.3"/>
    <row r="3" spans="2:7" ht="16.5" hidden="1" thickBot="1" x14ac:dyDescent="0.3">
      <c r="B3" s="383" t="s">
        <v>60</v>
      </c>
      <c r="C3" s="384"/>
      <c r="D3" s="384"/>
      <c r="E3" s="384"/>
      <c r="F3" s="384"/>
      <c r="G3" s="385"/>
    </row>
    <row r="4" spans="2:7" ht="60" hidden="1" customHeight="1" thickBot="1" x14ac:dyDescent="0.3">
      <c r="B4" s="380" t="s">
        <v>78</v>
      </c>
      <c r="C4" s="381"/>
      <c r="D4" s="381"/>
      <c r="E4" s="381"/>
      <c r="F4" s="381"/>
      <c r="G4" s="382"/>
    </row>
    <row r="5" spans="2:7" ht="15.75" hidden="1" thickBot="1" x14ac:dyDescent="0.3">
      <c r="B5" s="12" t="s">
        <v>34</v>
      </c>
      <c r="C5" s="13" t="s">
        <v>28</v>
      </c>
      <c r="D5" s="71" t="s">
        <v>29</v>
      </c>
      <c r="E5" s="71" t="s">
        <v>30</v>
      </c>
      <c r="F5" s="71" t="s">
        <v>31</v>
      </c>
      <c r="G5" s="72" t="s">
        <v>32</v>
      </c>
    </row>
    <row r="6" spans="2:7" hidden="1" x14ac:dyDescent="0.25">
      <c r="B6" s="10" t="s">
        <v>0</v>
      </c>
      <c r="C6" s="11" t="s">
        <v>88</v>
      </c>
      <c r="D6" s="70" t="s">
        <v>29</v>
      </c>
      <c r="E6" s="8">
        <v>1</v>
      </c>
      <c r="F6" s="8">
        <v>107.5</v>
      </c>
      <c r="G6" s="9">
        <v>107.5</v>
      </c>
    </row>
    <row r="7" spans="2:7" hidden="1" x14ac:dyDescent="0.25">
      <c r="B7" s="6" t="s">
        <v>83</v>
      </c>
      <c r="C7" s="5" t="s">
        <v>79</v>
      </c>
      <c r="D7" s="15" t="s">
        <v>87</v>
      </c>
      <c r="E7" s="1">
        <v>0.25</v>
      </c>
      <c r="F7" s="1">
        <v>4.05</v>
      </c>
      <c r="G7" s="9">
        <f>ROUND(E7*F7,2)</f>
        <v>1.01</v>
      </c>
    </row>
    <row r="8" spans="2:7" hidden="1" x14ac:dyDescent="0.25">
      <c r="B8" s="7" t="s">
        <v>84</v>
      </c>
      <c r="C8" s="5" t="s">
        <v>80</v>
      </c>
      <c r="D8" s="15" t="s">
        <v>87</v>
      </c>
      <c r="E8" s="1">
        <v>0.5</v>
      </c>
      <c r="F8" s="1">
        <v>4.05</v>
      </c>
      <c r="G8" s="9">
        <f>ROUND(E8*F8,2)</f>
        <v>2.0299999999999998</v>
      </c>
    </row>
    <row r="9" spans="2:7" hidden="1" x14ac:dyDescent="0.25">
      <c r="B9" s="6" t="s">
        <v>85</v>
      </c>
      <c r="C9" s="5" t="s">
        <v>81</v>
      </c>
      <c r="D9" s="15" t="s">
        <v>87</v>
      </c>
      <c r="E9" s="1">
        <v>0.5</v>
      </c>
      <c r="F9" s="1">
        <v>1.83</v>
      </c>
      <c r="G9" s="9">
        <f>ROUND(E9*F9,2)</f>
        <v>0.92</v>
      </c>
    </row>
    <row r="10" spans="2:7" ht="15.75" hidden="1" thickBot="1" x14ac:dyDescent="0.3">
      <c r="B10" s="6" t="s">
        <v>86</v>
      </c>
      <c r="C10" s="4" t="s">
        <v>82</v>
      </c>
      <c r="D10" s="15" t="s">
        <v>87</v>
      </c>
      <c r="E10" s="1">
        <v>0.25</v>
      </c>
      <c r="F10" s="1">
        <v>2.0099999999999998</v>
      </c>
      <c r="G10" s="9">
        <f>ROUND(E10*F10,2)</f>
        <v>0.5</v>
      </c>
    </row>
    <row r="11" spans="2:7" hidden="1" x14ac:dyDescent="0.25">
      <c r="B11" s="16" t="s">
        <v>41</v>
      </c>
      <c r="C11" s="24" t="s">
        <v>42</v>
      </c>
      <c r="D11" s="17" t="s">
        <v>43</v>
      </c>
      <c r="E11" s="17" t="s">
        <v>44</v>
      </c>
      <c r="F11" s="20" t="s">
        <v>45</v>
      </c>
      <c r="G11" s="22" t="s">
        <v>46</v>
      </c>
    </row>
    <row r="12" spans="2:7" ht="15.75" hidden="1" thickBot="1" x14ac:dyDescent="0.3">
      <c r="B12" s="18">
        <v>0</v>
      </c>
      <c r="C12" s="19">
        <f>G6</f>
        <v>107.5</v>
      </c>
      <c r="D12" s="19">
        <f>SUM(G7:G8)</f>
        <v>3.04</v>
      </c>
      <c r="E12" s="19">
        <f>SUM(G9:G10)</f>
        <v>1.42</v>
      </c>
      <c r="F12" s="21">
        <v>0</v>
      </c>
      <c r="G12" s="23">
        <f>SUM(G6:G10)</f>
        <v>111.96000000000001</v>
      </c>
    </row>
    <row r="13" spans="2:7" hidden="1" x14ac:dyDescent="0.25"/>
    <row r="14" spans="2:7" ht="15.75" hidden="1" thickBot="1" x14ac:dyDescent="0.3"/>
    <row r="15" spans="2:7" ht="16.5" hidden="1" thickBot="1" x14ac:dyDescent="0.3">
      <c r="B15" s="383" t="s">
        <v>60</v>
      </c>
      <c r="C15" s="384"/>
      <c r="D15" s="384"/>
      <c r="E15" s="384"/>
      <c r="F15" s="384"/>
      <c r="G15" s="385"/>
    </row>
    <row r="16" spans="2:7" ht="61.5" hidden="1" customHeight="1" thickBot="1" x14ac:dyDescent="0.3">
      <c r="B16" s="380" t="s">
        <v>89</v>
      </c>
      <c r="C16" s="381"/>
      <c r="D16" s="381"/>
      <c r="E16" s="381"/>
      <c r="F16" s="381"/>
      <c r="G16" s="382"/>
    </row>
    <row r="17" spans="2:7" ht="15.75" hidden="1" thickBot="1" x14ac:dyDescent="0.3">
      <c r="B17" s="12" t="s">
        <v>34</v>
      </c>
      <c r="C17" s="13" t="s">
        <v>28</v>
      </c>
      <c r="D17" s="71" t="s">
        <v>29</v>
      </c>
      <c r="E17" s="71" t="s">
        <v>30</v>
      </c>
      <c r="F17" s="71" t="s">
        <v>31</v>
      </c>
      <c r="G17" s="72" t="s">
        <v>32</v>
      </c>
    </row>
    <row r="18" spans="2:7" ht="15.75" hidden="1" customHeight="1" x14ac:dyDescent="0.25">
      <c r="B18" s="10" t="s">
        <v>0</v>
      </c>
      <c r="C18" s="11" t="s">
        <v>90</v>
      </c>
      <c r="D18" s="70" t="s">
        <v>29</v>
      </c>
      <c r="E18" s="8">
        <v>1</v>
      </c>
      <c r="F18" s="8">
        <v>107.5</v>
      </c>
      <c r="G18" s="9">
        <v>302.57</v>
      </c>
    </row>
    <row r="19" spans="2:7" hidden="1" x14ac:dyDescent="0.25">
      <c r="B19" s="6" t="s">
        <v>83</v>
      </c>
      <c r="C19" s="5" t="s">
        <v>79</v>
      </c>
      <c r="D19" s="15" t="s">
        <v>87</v>
      </c>
      <c r="E19" s="1">
        <v>0.25</v>
      </c>
      <c r="F19" s="1">
        <v>4.05</v>
      </c>
      <c r="G19" s="9">
        <f>ROUND(E19*F19,2)</f>
        <v>1.01</v>
      </c>
    </row>
    <row r="20" spans="2:7" hidden="1" x14ac:dyDescent="0.25">
      <c r="B20" s="7" t="s">
        <v>84</v>
      </c>
      <c r="C20" s="5" t="s">
        <v>80</v>
      </c>
      <c r="D20" s="15" t="s">
        <v>87</v>
      </c>
      <c r="E20" s="1">
        <v>0.5</v>
      </c>
      <c r="F20" s="1">
        <v>4.05</v>
      </c>
      <c r="G20" s="9">
        <f>ROUND(E20*F20,2)</f>
        <v>2.0299999999999998</v>
      </c>
    </row>
    <row r="21" spans="2:7" hidden="1" x14ac:dyDescent="0.25">
      <c r="B21" s="6" t="s">
        <v>85</v>
      </c>
      <c r="C21" s="5" t="s">
        <v>81</v>
      </c>
      <c r="D21" s="15" t="s">
        <v>87</v>
      </c>
      <c r="E21" s="1">
        <v>0.5</v>
      </c>
      <c r="F21" s="1">
        <v>1.83</v>
      </c>
      <c r="G21" s="9">
        <f>ROUND(E21*F21,2)</f>
        <v>0.92</v>
      </c>
    </row>
    <row r="22" spans="2:7" ht="15.75" hidden="1" thickBot="1" x14ac:dyDescent="0.3">
      <c r="B22" s="6" t="s">
        <v>86</v>
      </c>
      <c r="C22" s="4" t="s">
        <v>82</v>
      </c>
      <c r="D22" s="15" t="s">
        <v>87</v>
      </c>
      <c r="E22" s="1">
        <v>0.25</v>
      </c>
      <c r="F22" s="1">
        <v>2.0099999999999998</v>
      </c>
      <c r="G22" s="9">
        <f>ROUND(E22*F22,2)</f>
        <v>0.5</v>
      </c>
    </row>
    <row r="23" spans="2:7" hidden="1" x14ac:dyDescent="0.25">
      <c r="B23" s="16" t="s">
        <v>41</v>
      </c>
      <c r="C23" s="24" t="s">
        <v>42</v>
      </c>
      <c r="D23" s="17" t="s">
        <v>43</v>
      </c>
      <c r="E23" s="17" t="s">
        <v>44</v>
      </c>
      <c r="F23" s="20" t="s">
        <v>45</v>
      </c>
      <c r="G23" s="22" t="s">
        <v>46</v>
      </c>
    </row>
    <row r="24" spans="2:7" ht="15.75" hidden="1" thickBot="1" x14ac:dyDescent="0.3">
      <c r="B24" s="18">
        <v>0</v>
      </c>
      <c r="C24" s="19">
        <f>G18</f>
        <v>302.57</v>
      </c>
      <c r="D24" s="19">
        <f>SUM(G19:G20)</f>
        <v>3.04</v>
      </c>
      <c r="E24" s="19">
        <f>SUM(G21:G22)</f>
        <v>1.42</v>
      </c>
      <c r="F24" s="21">
        <v>0</v>
      </c>
      <c r="G24" s="23">
        <f>SUM(G18:G22)</f>
        <v>307.02999999999997</v>
      </c>
    </row>
    <row r="25" spans="2:7" hidden="1" x14ac:dyDescent="0.25"/>
    <row r="26" spans="2:7" hidden="1" x14ac:dyDescent="0.25"/>
    <row r="30" spans="2:7" ht="15.75" thickBot="1" x14ac:dyDescent="0.3"/>
    <row r="31" spans="2:7" ht="16.5" thickBot="1" x14ac:dyDescent="0.3">
      <c r="B31" s="383" t="s">
        <v>60</v>
      </c>
      <c r="C31" s="384"/>
      <c r="D31" s="384"/>
      <c r="E31" s="384"/>
      <c r="F31" s="384"/>
      <c r="G31" s="385"/>
    </row>
    <row r="32" spans="2:7" ht="65.25" customHeight="1" thickBot="1" x14ac:dyDescent="0.3">
      <c r="B32" s="380" t="s">
        <v>170</v>
      </c>
      <c r="C32" s="381"/>
      <c r="D32" s="381"/>
      <c r="E32" s="381"/>
      <c r="F32" s="381"/>
      <c r="G32" s="382"/>
    </row>
    <row r="33" spans="2:8" ht="15.75" thickBot="1" x14ac:dyDescent="0.3">
      <c r="B33" s="12" t="s">
        <v>34</v>
      </c>
      <c r="C33" s="13" t="s">
        <v>28</v>
      </c>
      <c r="D33" s="71" t="s">
        <v>29</v>
      </c>
      <c r="E33" s="71" t="s">
        <v>30</v>
      </c>
      <c r="F33" s="71" t="s">
        <v>31</v>
      </c>
      <c r="G33" s="72" t="s">
        <v>32</v>
      </c>
    </row>
    <row r="34" spans="2:8" x14ac:dyDescent="0.25">
      <c r="B34" s="10" t="s">
        <v>190</v>
      </c>
      <c r="C34" s="11" t="s">
        <v>227</v>
      </c>
      <c r="D34" s="70" t="s">
        <v>65</v>
      </c>
      <c r="E34" s="61">
        <v>1</v>
      </c>
      <c r="F34" s="85">
        <v>1.19</v>
      </c>
      <c r="G34" s="86">
        <f>E34*F34</f>
        <v>1.19</v>
      </c>
      <c r="H34" s="8">
        <v>1.82</v>
      </c>
    </row>
    <row r="35" spans="2:8" x14ac:dyDescent="0.25">
      <c r="B35" s="7" t="s">
        <v>196</v>
      </c>
      <c r="C35" s="5" t="s">
        <v>221</v>
      </c>
      <c r="D35" s="15" t="s">
        <v>87</v>
      </c>
      <c r="E35" s="2">
        <v>0.3</v>
      </c>
      <c r="F35" s="85">
        <f>H35*0.97</f>
        <v>7.6435999999999993</v>
      </c>
      <c r="G35" s="86">
        <f>ROUND(E35*F35,2)</f>
        <v>2.29</v>
      </c>
      <c r="H35" s="1">
        <v>7.88</v>
      </c>
    </row>
    <row r="36" spans="2:8" x14ac:dyDescent="0.25">
      <c r="B36" s="93" t="s">
        <v>191</v>
      </c>
      <c r="C36" s="5" t="s">
        <v>193</v>
      </c>
      <c r="D36" s="15" t="s">
        <v>87</v>
      </c>
      <c r="E36" s="1">
        <v>0.15</v>
      </c>
      <c r="F36" s="61">
        <v>5.0599999999999996</v>
      </c>
      <c r="G36" s="9">
        <f>ROUND(E36*F36,2)</f>
        <v>0.76</v>
      </c>
      <c r="H36" s="1">
        <v>1.83</v>
      </c>
    </row>
    <row r="37" spans="2:8" ht="15.75" thickBot="1" x14ac:dyDescent="0.3">
      <c r="B37" s="92" t="s">
        <v>192</v>
      </c>
      <c r="C37" s="5" t="s">
        <v>194</v>
      </c>
      <c r="D37" s="15" t="s">
        <v>87</v>
      </c>
      <c r="E37" s="1">
        <v>0.3</v>
      </c>
      <c r="F37" s="61">
        <v>3.41</v>
      </c>
      <c r="G37" s="9">
        <f>ROUND(E37*F37,2)</f>
        <v>1.02</v>
      </c>
      <c r="H37" s="1">
        <v>1.78</v>
      </c>
    </row>
    <row r="38" spans="2:8" x14ac:dyDescent="0.25">
      <c r="B38" s="16" t="s">
        <v>41</v>
      </c>
      <c r="C38" s="24" t="s">
        <v>42</v>
      </c>
      <c r="D38" s="17" t="s">
        <v>43</v>
      </c>
      <c r="E38" s="17" t="s">
        <v>44</v>
      </c>
      <c r="F38" s="20" t="s">
        <v>45</v>
      </c>
      <c r="G38" s="22" t="s">
        <v>46</v>
      </c>
    </row>
    <row r="39" spans="2:8" ht="15.75" thickBot="1" x14ac:dyDescent="0.3">
      <c r="B39" s="18">
        <v>0</v>
      </c>
      <c r="C39" s="94">
        <f>G34</f>
        <v>1.19</v>
      </c>
      <c r="D39" s="94">
        <f>G35+G36+G37</f>
        <v>4.07</v>
      </c>
      <c r="E39" s="19">
        <f>SUM(G36:G37)</f>
        <v>1.78</v>
      </c>
      <c r="F39" s="21">
        <v>0</v>
      </c>
      <c r="G39" s="87">
        <f>SUM(G34:G37)+0.01</f>
        <v>5.27</v>
      </c>
    </row>
  </sheetData>
  <mergeCells count="6">
    <mergeCell ref="B32:G32"/>
    <mergeCell ref="B3:G3"/>
    <mergeCell ref="B4:G4"/>
    <mergeCell ref="B15:G15"/>
    <mergeCell ref="B16:G16"/>
    <mergeCell ref="B31:G31"/>
  </mergeCells>
  <pageMargins left="1.1811023622047245" right="0.78740157480314965" top="0.78740157480314965" bottom="0.78740157480314965" header="0" footer="0"/>
  <pageSetup paperSize="9" scale="75" orientation="portrait" verticalDpi="30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33"/>
  <dimension ref="B2:H39"/>
  <sheetViews>
    <sheetView view="pageBreakPreview" zoomScaleNormal="100" zoomScaleSheetLayoutView="100" workbookViewId="0">
      <selection activeCell="F43" sqref="F43"/>
    </sheetView>
  </sheetViews>
  <sheetFormatPr defaultRowHeight="15" x14ac:dyDescent="0.25"/>
  <cols>
    <col min="2" max="2" width="12.85546875" bestFit="1" customWidth="1"/>
    <col min="3" max="3" width="44.85546875" customWidth="1"/>
    <col min="4" max="4" width="12.7109375" bestFit="1" customWidth="1"/>
    <col min="5" max="5" width="10.140625" bestFit="1" customWidth="1"/>
    <col min="6" max="6" width="10.28515625" bestFit="1" customWidth="1"/>
    <col min="7" max="7" width="15.5703125" bestFit="1" customWidth="1"/>
    <col min="8" max="8" width="0" hidden="1" customWidth="1"/>
  </cols>
  <sheetData>
    <row r="2" spans="2:7" ht="15.75" hidden="1" thickBot="1" x14ac:dyDescent="0.3"/>
    <row r="3" spans="2:7" ht="16.5" hidden="1" thickBot="1" x14ac:dyDescent="0.3">
      <c r="B3" s="383" t="s">
        <v>60</v>
      </c>
      <c r="C3" s="384"/>
      <c r="D3" s="384"/>
      <c r="E3" s="384"/>
      <c r="F3" s="384"/>
      <c r="G3" s="385"/>
    </row>
    <row r="4" spans="2:7" ht="60" hidden="1" customHeight="1" thickBot="1" x14ac:dyDescent="0.3">
      <c r="B4" s="380" t="s">
        <v>78</v>
      </c>
      <c r="C4" s="381"/>
      <c r="D4" s="381"/>
      <c r="E4" s="381"/>
      <c r="F4" s="381"/>
      <c r="G4" s="382"/>
    </row>
    <row r="5" spans="2:7" ht="15.75" hidden="1" thickBot="1" x14ac:dyDescent="0.3">
      <c r="B5" s="12" t="s">
        <v>34</v>
      </c>
      <c r="C5" s="13" t="s">
        <v>28</v>
      </c>
      <c r="D5" s="71" t="s">
        <v>29</v>
      </c>
      <c r="E5" s="71" t="s">
        <v>30</v>
      </c>
      <c r="F5" s="71" t="s">
        <v>31</v>
      </c>
      <c r="G5" s="72" t="s">
        <v>32</v>
      </c>
    </row>
    <row r="6" spans="2:7" hidden="1" x14ac:dyDescent="0.25">
      <c r="B6" s="10" t="s">
        <v>0</v>
      </c>
      <c r="C6" s="11" t="s">
        <v>88</v>
      </c>
      <c r="D6" s="70" t="s">
        <v>29</v>
      </c>
      <c r="E6" s="8">
        <v>1</v>
      </c>
      <c r="F6" s="8">
        <v>107.5</v>
      </c>
      <c r="G6" s="9">
        <v>107.5</v>
      </c>
    </row>
    <row r="7" spans="2:7" hidden="1" x14ac:dyDescent="0.25">
      <c r="B7" s="6" t="s">
        <v>83</v>
      </c>
      <c r="C7" s="5" t="s">
        <v>79</v>
      </c>
      <c r="D7" s="15" t="s">
        <v>87</v>
      </c>
      <c r="E7" s="1">
        <v>0.25</v>
      </c>
      <c r="F7" s="1">
        <v>4.05</v>
      </c>
      <c r="G7" s="9">
        <f>ROUND(E7*F7,2)</f>
        <v>1.01</v>
      </c>
    </row>
    <row r="8" spans="2:7" hidden="1" x14ac:dyDescent="0.25">
      <c r="B8" s="7" t="s">
        <v>84</v>
      </c>
      <c r="C8" s="5" t="s">
        <v>80</v>
      </c>
      <c r="D8" s="15" t="s">
        <v>87</v>
      </c>
      <c r="E8" s="1">
        <v>0.5</v>
      </c>
      <c r="F8" s="1">
        <v>4.05</v>
      </c>
      <c r="G8" s="9">
        <f>ROUND(E8*F8,2)</f>
        <v>2.0299999999999998</v>
      </c>
    </row>
    <row r="9" spans="2:7" hidden="1" x14ac:dyDescent="0.25">
      <c r="B9" s="6" t="s">
        <v>85</v>
      </c>
      <c r="C9" s="5" t="s">
        <v>81</v>
      </c>
      <c r="D9" s="15" t="s">
        <v>87</v>
      </c>
      <c r="E9" s="1">
        <v>0.5</v>
      </c>
      <c r="F9" s="1">
        <v>1.83</v>
      </c>
      <c r="G9" s="9">
        <f>ROUND(E9*F9,2)</f>
        <v>0.92</v>
      </c>
    </row>
    <row r="10" spans="2:7" ht="15.75" hidden="1" thickBot="1" x14ac:dyDescent="0.3">
      <c r="B10" s="6" t="s">
        <v>86</v>
      </c>
      <c r="C10" s="4" t="s">
        <v>82</v>
      </c>
      <c r="D10" s="15" t="s">
        <v>87</v>
      </c>
      <c r="E10" s="1">
        <v>0.25</v>
      </c>
      <c r="F10" s="1">
        <v>2.0099999999999998</v>
      </c>
      <c r="G10" s="9">
        <f>ROUND(E10*F10,2)</f>
        <v>0.5</v>
      </c>
    </row>
    <row r="11" spans="2:7" hidden="1" x14ac:dyDescent="0.25">
      <c r="B11" s="16" t="s">
        <v>41</v>
      </c>
      <c r="C11" s="24" t="s">
        <v>42</v>
      </c>
      <c r="D11" s="17" t="s">
        <v>43</v>
      </c>
      <c r="E11" s="17" t="s">
        <v>44</v>
      </c>
      <c r="F11" s="20" t="s">
        <v>45</v>
      </c>
      <c r="G11" s="22" t="s">
        <v>46</v>
      </c>
    </row>
    <row r="12" spans="2:7" ht="15.75" hidden="1" thickBot="1" x14ac:dyDescent="0.3">
      <c r="B12" s="18">
        <v>0</v>
      </c>
      <c r="C12" s="19">
        <f>G6</f>
        <v>107.5</v>
      </c>
      <c r="D12" s="19">
        <f>SUM(G7:G8)</f>
        <v>3.04</v>
      </c>
      <c r="E12" s="19">
        <f>SUM(G9:G10)</f>
        <v>1.42</v>
      </c>
      <c r="F12" s="21">
        <v>0</v>
      </c>
      <c r="G12" s="23">
        <f>SUM(G6:G10)</f>
        <v>111.96000000000001</v>
      </c>
    </row>
    <row r="13" spans="2:7" hidden="1" x14ac:dyDescent="0.25"/>
    <row r="14" spans="2:7" ht="15.75" hidden="1" thickBot="1" x14ac:dyDescent="0.3"/>
    <row r="15" spans="2:7" ht="16.5" hidden="1" thickBot="1" x14ac:dyDescent="0.3">
      <c r="B15" s="383" t="s">
        <v>60</v>
      </c>
      <c r="C15" s="384"/>
      <c r="D15" s="384"/>
      <c r="E15" s="384"/>
      <c r="F15" s="384"/>
      <c r="G15" s="385"/>
    </row>
    <row r="16" spans="2:7" ht="61.5" hidden="1" customHeight="1" thickBot="1" x14ac:dyDescent="0.3">
      <c r="B16" s="380" t="s">
        <v>89</v>
      </c>
      <c r="C16" s="381"/>
      <c r="D16" s="381"/>
      <c r="E16" s="381"/>
      <c r="F16" s="381"/>
      <c r="G16" s="382"/>
    </row>
    <row r="17" spans="2:7" ht="15.75" hidden="1" thickBot="1" x14ac:dyDescent="0.3">
      <c r="B17" s="12" t="s">
        <v>34</v>
      </c>
      <c r="C17" s="13" t="s">
        <v>28</v>
      </c>
      <c r="D17" s="71" t="s">
        <v>29</v>
      </c>
      <c r="E17" s="71" t="s">
        <v>30</v>
      </c>
      <c r="F17" s="71" t="s">
        <v>31</v>
      </c>
      <c r="G17" s="72" t="s">
        <v>32</v>
      </c>
    </row>
    <row r="18" spans="2:7" ht="15.75" hidden="1" customHeight="1" x14ac:dyDescent="0.25">
      <c r="B18" s="10" t="s">
        <v>0</v>
      </c>
      <c r="C18" s="11" t="s">
        <v>90</v>
      </c>
      <c r="D18" s="70" t="s">
        <v>29</v>
      </c>
      <c r="E18" s="8">
        <v>1</v>
      </c>
      <c r="F18" s="8">
        <v>107.5</v>
      </c>
      <c r="G18" s="9">
        <v>302.57</v>
      </c>
    </row>
    <row r="19" spans="2:7" hidden="1" x14ac:dyDescent="0.25">
      <c r="B19" s="6" t="s">
        <v>83</v>
      </c>
      <c r="C19" s="5" t="s">
        <v>79</v>
      </c>
      <c r="D19" s="15" t="s">
        <v>87</v>
      </c>
      <c r="E19" s="1">
        <v>0.25</v>
      </c>
      <c r="F19" s="1">
        <v>4.05</v>
      </c>
      <c r="G19" s="9">
        <f>ROUND(E19*F19,2)</f>
        <v>1.01</v>
      </c>
    </row>
    <row r="20" spans="2:7" hidden="1" x14ac:dyDescent="0.25">
      <c r="B20" s="7" t="s">
        <v>84</v>
      </c>
      <c r="C20" s="5" t="s">
        <v>80</v>
      </c>
      <c r="D20" s="15" t="s">
        <v>87</v>
      </c>
      <c r="E20" s="1">
        <v>0.5</v>
      </c>
      <c r="F20" s="1">
        <v>4.05</v>
      </c>
      <c r="G20" s="9">
        <f>ROUND(E20*F20,2)</f>
        <v>2.0299999999999998</v>
      </c>
    </row>
    <row r="21" spans="2:7" hidden="1" x14ac:dyDescent="0.25">
      <c r="B21" s="6" t="s">
        <v>85</v>
      </c>
      <c r="C21" s="5" t="s">
        <v>81</v>
      </c>
      <c r="D21" s="15" t="s">
        <v>87</v>
      </c>
      <c r="E21" s="1">
        <v>0.5</v>
      </c>
      <c r="F21" s="1">
        <v>1.83</v>
      </c>
      <c r="G21" s="9">
        <f>ROUND(E21*F21,2)</f>
        <v>0.92</v>
      </c>
    </row>
    <row r="22" spans="2:7" ht="15.75" hidden="1" thickBot="1" x14ac:dyDescent="0.3">
      <c r="B22" s="6" t="s">
        <v>86</v>
      </c>
      <c r="C22" s="4" t="s">
        <v>82</v>
      </c>
      <c r="D22" s="15" t="s">
        <v>87</v>
      </c>
      <c r="E22" s="1">
        <v>0.25</v>
      </c>
      <c r="F22" s="1">
        <v>2.0099999999999998</v>
      </c>
      <c r="G22" s="9">
        <f>ROUND(E22*F22,2)</f>
        <v>0.5</v>
      </c>
    </row>
    <row r="23" spans="2:7" hidden="1" x14ac:dyDescent="0.25">
      <c r="B23" s="16" t="s">
        <v>41</v>
      </c>
      <c r="C23" s="24" t="s">
        <v>42</v>
      </c>
      <c r="D23" s="17" t="s">
        <v>43</v>
      </c>
      <c r="E23" s="17" t="s">
        <v>44</v>
      </c>
      <c r="F23" s="20" t="s">
        <v>45</v>
      </c>
      <c r="G23" s="22" t="s">
        <v>46</v>
      </c>
    </row>
    <row r="24" spans="2:7" ht="15.75" hidden="1" thickBot="1" x14ac:dyDescent="0.3">
      <c r="B24" s="18">
        <v>0</v>
      </c>
      <c r="C24" s="19">
        <f>G18</f>
        <v>302.57</v>
      </c>
      <c r="D24" s="19">
        <f>SUM(G19:G20)</f>
        <v>3.04</v>
      </c>
      <c r="E24" s="19">
        <f>SUM(G21:G22)</f>
        <v>1.42</v>
      </c>
      <c r="F24" s="21">
        <v>0</v>
      </c>
      <c r="G24" s="23">
        <f>SUM(G18:G22)</f>
        <v>307.02999999999997</v>
      </c>
    </row>
    <row r="25" spans="2:7" hidden="1" x14ac:dyDescent="0.25"/>
    <row r="26" spans="2:7" hidden="1" x14ac:dyDescent="0.25"/>
    <row r="27" spans="2:7" hidden="1" x14ac:dyDescent="0.25"/>
    <row r="30" spans="2:7" ht="15.75" thickBot="1" x14ac:dyDescent="0.3"/>
    <row r="31" spans="2:7" ht="16.5" thickBot="1" x14ac:dyDescent="0.3">
      <c r="B31" s="383" t="s">
        <v>60</v>
      </c>
      <c r="C31" s="384"/>
      <c r="D31" s="384"/>
      <c r="E31" s="384"/>
      <c r="F31" s="384"/>
      <c r="G31" s="385"/>
    </row>
    <row r="32" spans="2:7" ht="65.25" customHeight="1" thickBot="1" x14ac:dyDescent="0.3">
      <c r="B32" s="380" t="s">
        <v>171</v>
      </c>
      <c r="C32" s="381"/>
      <c r="D32" s="381"/>
      <c r="E32" s="381"/>
      <c r="F32" s="381"/>
      <c r="G32" s="382"/>
    </row>
    <row r="33" spans="2:8" ht="15.75" thickBot="1" x14ac:dyDescent="0.3">
      <c r="B33" s="12" t="s">
        <v>34</v>
      </c>
      <c r="C33" s="13" t="s">
        <v>28</v>
      </c>
      <c r="D33" s="71" t="s">
        <v>29</v>
      </c>
      <c r="E33" s="71" t="s">
        <v>30</v>
      </c>
      <c r="F33" s="71" t="s">
        <v>31</v>
      </c>
      <c r="G33" s="72" t="s">
        <v>32</v>
      </c>
    </row>
    <row r="34" spans="2:8" x14ac:dyDescent="0.25">
      <c r="B34" s="10" t="s">
        <v>190</v>
      </c>
      <c r="C34" s="11" t="s">
        <v>228</v>
      </c>
      <c r="D34" s="70" t="s">
        <v>65</v>
      </c>
      <c r="E34" s="61">
        <v>1</v>
      </c>
      <c r="F34" s="85">
        <v>3.01</v>
      </c>
      <c r="G34" s="86">
        <f>E34*F34</f>
        <v>3.01</v>
      </c>
      <c r="H34" s="1">
        <v>10.63</v>
      </c>
    </row>
    <row r="35" spans="2:8" x14ac:dyDescent="0.25">
      <c r="B35" s="7" t="s">
        <v>196</v>
      </c>
      <c r="C35" s="5" t="s">
        <v>221</v>
      </c>
      <c r="D35" s="15" t="s">
        <v>87</v>
      </c>
      <c r="E35" s="2">
        <v>0.3</v>
      </c>
      <c r="F35" s="85">
        <f>H35*0.97</f>
        <v>7.6435999999999993</v>
      </c>
      <c r="G35" s="86">
        <f>ROUND(E35*F35,2)</f>
        <v>2.29</v>
      </c>
      <c r="H35" s="1">
        <v>7.88</v>
      </c>
    </row>
    <row r="36" spans="2:8" x14ac:dyDescent="0.25">
      <c r="B36" s="93" t="s">
        <v>191</v>
      </c>
      <c r="C36" s="5" t="s">
        <v>193</v>
      </c>
      <c r="D36" s="15" t="s">
        <v>87</v>
      </c>
      <c r="E36" s="1">
        <v>0.15</v>
      </c>
      <c r="F36" s="61">
        <v>5.0599999999999996</v>
      </c>
      <c r="G36" s="9">
        <f>ROUND(E36*F36,2)</f>
        <v>0.76</v>
      </c>
      <c r="H36" s="1">
        <v>1.83</v>
      </c>
    </row>
    <row r="37" spans="2:8" ht="15.75" thickBot="1" x14ac:dyDescent="0.3">
      <c r="B37" s="92" t="s">
        <v>192</v>
      </c>
      <c r="C37" s="5" t="s">
        <v>194</v>
      </c>
      <c r="D37" s="15" t="s">
        <v>87</v>
      </c>
      <c r="E37" s="1">
        <v>0.3</v>
      </c>
      <c r="F37" s="61">
        <v>3.41</v>
      </c>
      <c r="G37" s="9">
        <f>ROUND(E37*F37,2)</f>
        <v>1.02</v>
      </c>
      <c r="H37" s="1">
        <v>1.78</v>
      </c>
    </row>
    <row r="38" spans="2:8" x14ac:dyDescent="0.25">
      <c r="B38" s="16" t="s">
        <v>41</v>
      </c>
      <c r="C38" s="24" t="s">
        <v>42</v>
      </c>
      <c r="D38" s="17" t="s">
        <v>43</v>
      </c>
      <c r="E38" s="17" t="s">
        <v>44</v>
      </c>
      <c r="F38" s="20" t="s">
        <v>45</v>
      </c>
      <c r="G38" s="22" t="s">
        <v>46</v>
      </c>
    </row>
    <row r="39" spans="2:8" ht="15.75" thickBot="1" x14ac:dyDescent="0.3">
      <c r="B39" s="18">
        <v>0</v>
      </c>
      <c r="C39" s="94">
        <f>G34</f>
        <v>3.01</v>
      </c>
      <c r="D39" s="94">
        <f>G35+G36+G37</f>
        <v>4.07</v>
      </c>
      <c r="E39" s="19">
        <f>SUM(G36:G37)</f>
        <v>1.78</v>
      </c>
      <c r="F39" s="21">
        <v>0</v>
      </c>
      <c r="G39" s="87">
        <f>SUM(G34:G37)+0.01</f>
        <v>7.09</v>
      </c>
    </row>
  </sheetData>
  <mergeCells count="6">
    <mergeCell ref="B32:G32"/>
    <mergeCell ref="B3:G3"/>
    <mergeCell ref="B4:G4"/>
    <mergeCell ref="B15:G15"/>
    <mergeCell ref="B16:G16"/>
    <mergeCell ref="B31:G31"/>
  </mergeCells>
  <pageMargins left="1.1811023622047245" right="0.78740157480314965" top="0.78740157480314965" bottom="0.78740157480314965" header="0" footer="0"/>
  <pageSetup paperSize="9" scale="75" orientation="portrait" verticalDpi="300"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34"/>
  <dimension ref="B2:H39"/>
  <sheetViews>
    <sheetView view="pageBreakPreview" zoomScaleNormal="100" zoomScaleSheetLayoutView="100" workbookViewId="0">
      <selection activeCell="G43" sqref="G43"/>
    </sheetView>
  </sheetViews>
  <sheetFormatPr defaultRowHeight="15" x14ac:dyDescent="0.25"/>
  <cols>
    <col min="2" max="2" width="12.85546875" bestFit="1" customWidth="1"/>
    <col min="3" max="3" width="44.85546875" customWidth="1"/>
    <col min="4" max="4" width="12.7109375" bestFit="1" customWidth="1"/>
    <col min="5" max="5" width="10.140625" bestFit="1" customWidth="1"/>
    <col min="6" max="6" width="10.28515625" bestFit="1" customWidth="1"/>
    <col min="7" max="7" width="15.5703125" bestFit="1" customWidth="1"/>
    <col min="8" max="8" width="0" hidden="1" customWidth="1"/>
  </cols>
  <sheetData>
    <row r="2" spans="2:7" ht="15.75" hidden="1" thickBot="1" x14ac:dyDescent="0.3"/>
    <row r="3" spans="2:7" ht="16.5" hidden="1" thickBot="1" x14ac:dyDescent="0.3">
      <c r="B3" s="383" t="s">
        <v>60</v>
      </c>
      <c r="C3" s="384"/>
      <c r="D3" s="384"/>
      <c r="E3" s="384"/>
      <c r="F3" s="384"/>
      <c r="G3" s="385"/>
    </row>
    <row r="4" spans="2:7" ht="60" hidden="1" customHeight="1" thickBot="1" x14ac:dyDescent="0.3">
      <c r="B4" s="380" t="s">
        <v>78</v>
      </c>
      <c r="C4" s="381"/>
      <c r="D4" s="381"/>
      <c r="E4" s="381"/>
      <c r="F4" s="381"/>
      <c r="G4" s="382"/>
    </row>
    <row r="5" spans="2:7" ht="15.75" hidden="1" thickBot="1" x14ac:dyDescent="0.3">
      <c r="B5" s="12" t="s">
        <v>34</v>
      </c>
      <c r="C5" s="13" t="s">
        <v>28</v>
      </c>
      <c r="D5" s="71" t="s">
        <v>29</v>
      </c>
      <c r="E5" s="71" t="s">
        <v>30</v>
      </c>
      <c r="F5" s="71" t="s">
        <v>31</v>
      </c>
      <c r="G5" s="72" t="s">
        <v>32</v>
      </c>
    </row>
    <row r="6" spans="2:7" hidden="1" x14ac:dyDescent="0.25">
      <c r="B6" s="10" t="s">
        <v>0</v>
      </c>
      <c r="C6" s="11" t="s">
        <v>88</v>
      </c>
      <c r="D6" s="70" t="s">
        <v>29</v>
      </c>
      <c r="E6" s="8">
        <v>1</v>
      </c>
      <c r="F6" s="8">
        <v>107.5</v>
      </c>
      <c r="G6" s="9">
        <v>107.5</v>
      </c>
    </row>
    <row r="7" spans="2:7" hidden="1" x14ac:dyDescent="0.25">
      <c r="B7" s="6" t="s">
        <v>83</v>
      </c>
      <c r="C7" s="5" t="s">
        <v>79</v>
      </c>
      <c r="D7" s="15" t="s">
        <v>87</v>
      </c>
      <c r="E7" s="1">
        <v>0.25</v>
      </c>
      <c r="F7" s="1">
        <v>4.05</v>
      </c>
      <c r="G7" s="9">
        <f>ROUND(E7*F7,2)</f>
        <v>1.01</v>
      </c>
    </row>
    <row r="8" spans="2:7" hidden="1" x14ac:dyDescent="0.25">
      <c r="B8" s="7" t="s">
        <v>84</v>
      </c>
      <c r="C8" s="5" t="s">
        <v>80</v>
      </c>
      <c r="D8" s="15" t="s">
        <v>87</v>
      </c>
      <c r="E8" s="1">
        <v>0.5</v>
      </c>
      <c r="F8" s="1">
        <v>4.05</v>
      </c>
      <c r="G8" s="9">
        <f>ROUND(E8*F8,2)</f>
        <v>2.0299999999999998</v>
      </c>
    </row>
    <row r="9" spans="2:7" hidden="1" x14ac:dyDescent="0.25">
      <c r="B9" s="6" t="s">
        <v>85</v>
      </c>
      <c r="C9" s="5" t="s">
        <v>81</v>
      </c>
      <c r="D9" s="15" t="s">
        <v>87</v>
      </c>
      <c r="E9" s="1">
        <v>0.5</v>
      </c>
      <c r="F9" s="1">
        <v>1.83</v>
      </c>
      <c r="G9" s="9">
        <f>ROUND(E9*F9,2)</f>
        <v>0.92</v>
      </c>
    </row>
    <row r="10" spans="2:7" ht="15.75" hidden="1" thickBot="1" x14ac:dyDescent="0.3">
      <c r="B10" s="6" t="s">
        <v>86</v>
      </c>
      <c r="C10" s="4" t="s">
        <v>82</v>
      </c>
      <c r="D10" s="15" t="s">
        <v>87</v>
      </c>
      <c r="E10" s="1">
        <v>0.25</v>
      </c>
      <c r="F10" s="1">
        <v>2.0099999999999998</v>
      </c>
      <c r="G10" s="9">
        <f>ROUND(E10*F10,2)</f>
        <v>0.5</v>
      </c>
    </row>
    <row r="11" spans="2:7" hidden="1" x14ac:dyDescent="0.25">
      <c r="B11" s="16" t="s">
        <v>41</v>
      </c>
      <c r="C11" s="24" t="s">
        <v>42</v>
      </c>
      <c r="D11" s="17" t="s">
        <v>43</v>
      </c>
      <c r="E11" s="17" t="s">
        <v>44</v>
      </c>
      <c r="F11" s="20" t="s">
        <v>45</v>
      </c>
      <c r="G11" s="22" t="s">
        <v>46</v>
      </c>
    </row>
    <row r="12" spans="2:7" ht="15.75" hidden="1" thickBot="1" x14ac:dyDescent="0.3">
      <c r="B12" s="18">
        <v>0</v>
      </c>
      <c r="C12" s="19">
        <f>G6</f>
        <v>107.5</v>
      </c>
      <c r="D12" s="19">
        <f>SUM(G7:G8)</f>
        <v>3.04</v>
      </c>
      <c r="E12" s="19">
        <f>SUM(G9:G10)</f>
        <v>1.42</v>
      </c>
      <c r="F12" s="21">
        <v>0</v>
      </c>
      <c r="G12" s="23">
        <f>SUM(G6:G10)</f>
        <v>111.96000000000001</v>
      </c>
    </row>
    <row r="13" spans="2:7" hidden="1" x14ac:dyDescent="0.25"/>
    <row r="14" spans="2:7" ht="15.75" hidden="1" thickBot="1" x14ac:dyDescent="0.3"/>
    <row r="15" spans="2:7" ht="16.5" hidden="1" thickBot="1" x14ac:dyDescent="0.3">
      <c r="B15" s="383" t="s">
        <v>60</v>
      </c>
      <c r="C15" s="384"/>
      <c r="D15" s="384"/>
      <c r="E15" s="384"/>
      <c r="F15" s="384"/>
      <c r="G15" s="385"/>
    </row>
    <row r="16" spans="2:7" ht="61.5" hidden="1" customHeight="1" thickBot="1" x14ac:dyDescent="0.3">
      <c r="B16" s="380" t="s">
        <v>89</v>
      </c>
      <c r="C16" s="381"/>
      <c r="D16" s="381"/>
      <c r="E16" s="381"/>
      <c r="F16" s="381"/>
      <c r="G16" s="382"/>
    </row>
    <row r="17" spans="2:7" ht="15.75" hidden="1" thickBot="1" x14ac:dyDescent="0.3">
      <c r="B17" s="12" t="s">
        <v>34</v>
      </c>
      <c r="C17" s="13" t="s">
        <v>28</v>
      </c>
      <c r="D17" s="71" t="s">
        <v>29</v>
      </c>
      <c r="E17" s="71" t="s">
        <v>30</v>
      </c>
      <c r="F17" s="71" t="s">
        <v>31</v>
      </c>
      <c r="G17" s="72" t="s">
        <v>32</v>
      </c>
    </row>
    <row r="18" spans="2:7" ht="15.75" hidden="1" customHeight="1" x14ac:dyDescent="0.25">
      <c r="B18" s="10" t="s">
        <v>0</v>
      </c>
      <c r="C18" s="11" t="s">
        <v>90</v>
      </c>
      <c r="D18" s="70" t="s">
        <v>29</v>
      </c>
      <c r="E18" s="8">
        <v>1</v>
      </c>
      <c r="F18" s="8">
        <v>107.5</v>
      </c>
      <c r="G18" s="9">
        <v>302.57</v>
      </c>
    </row>
    <row r="19" spans="2:7" hidden="1" x14ac:dyDescent="0.25">
      <c r="B19" s="6" t="s">
        <v>83</v>
      </c>
      <c r="C19" s="5" t="s">
        <v>79</v>
      </c>
      <c r="D19" s="15" t="s">
        <v>87</v>
      </c>
      <c r="E19" s="1">
        <v>0.25</v>
      </c>
      <c r="F19" s="1">
        <v>4.05</v>
      </c>
      <c r="G19" s="9">
        <f>ROUND(E19*F19,2)</f>
        <v>1.01</v>
      </c>
    </row>
    <row r="20" spans="2:7" hidden="1" x14ac:dyDescent="0.25">
      <c r="B20" s="7" t="s">
        <v>84</v>
      </c>
      <c r="C20" s="5" t="s">
        <v>80</v>
      </c>
      <c r="D20" s="15" t="s">
        <v>87</v>
      </c>
      <c r="E20" s="1">
        <v>0.5</v>
      </c>
      <c r="F20" s="1">
        <v>4.05</v>
      </c>
      <c r="G20" s="9">
        <f>ROUND(E20*F20,2)</f>
        <v>2.0299999999999998</v>
      </c>
    </row>
    <row r="21" spans="2:7" hidden="1" x14ac:dyDescent="0.25">
      <c r="B21" s="6" t="s">
        <v>85</v>
      </c>
      <c r="C21" s="5" t="s">
        <v>81</v>
      </c>
      <c r="D21" s="15" t="s">
        <v>87</v>
      </c>
      <c r="E21" s="1">
        <v>0.5</v>
      </c>
      <c r="F21" s="1">
        <v>1.83</v>
      </c>
      <c r="G21" s="9">
        <f>ROUND(E21*F21,2)</f>
        <v>0.92</v>
      </c>
    </row>
    <row r="22" spans="2:7" ht="15.75" hidden="1" thickBot="1" x14ac:dyDescent="0.3">
      <c r="B22" s="6" t="s">
        <v>86</v>
      </c>
      <c r="C22" s="4" t="s">
        <v>82</v>
      </c>
      <c r="D22" s="15" t="s">
        <v>87</v>
      </c>
      <c r="E22" s="1">
        <v>0.25</v>
      </c>
      <c r="F22" s="1">
        <v>2.0099999999999998</v>
      </c>
      <c r="G22" s="9">
        <f>ROUND(E22*F22,2)</f>
        <v>0.5</v>
      </c>
    </row>
    <row r="23" spans="2:7" hidden="1" x14ac:dyDescent="0.25">
      <c r="B23" s="16" t="s">
        <v>41</v>
      </c>
      <c r="C23" s="24" t="s">
        <v>42</v>
      </c>
      <c r="D23" s="17" t="s">
        <v>43</v>
      </c>
      <c r="E23" s="17" t="s">
        <v>44</v>
      </c>
      <c r="F23" s="20" t="s">
        <v>45</v>
      </c>
      <c r="G23" s="22" t="s">
        <v>46</v>
      </c>
    </row>
    <row r="24" spans="2:7" ht="15.75" hidden="1" thickBot="1" x14ac:dyDescent="0.3">
      <c r="B24" s="18">
        <v>0</v>
      </c>
      <c r="C24" s="19">
        <f>G18</f>
        <v>302.57</v>
      </c>
      <c r="D24" s="19">
        <f>SUM(G19:G20)</f>
        <v>3.04</v>
      </c>
      <c r="E24" s="19">
        <f>SUM(G21:G22)</f>
        <v>1.42</v>
      </c>
      <c r="F24" s="21">
        <v>0</v>
      </c>
      <c r="G24" s="23">
        <f>SUM(G18:G22)</f>
        <v>307.02999999999997</v>
      </c>
    </row>
    <row r="25" spans="2:7" hidden="1" x14ac:dyDescent="0.25"/>
    <row r="30" spans="2:7" ht="15.75" thickBot="1" x14ac:dyDescent="0.3"/>
    <row r="31" spans="2:7" ht="16.5" thickBot="1" x14ac:dyDescent="0.3">
      <c r="B31" s="383" t="s">
        <v>60</v>
      </c>
      <c r="C31" s="384"/>
      <c r="D31" s="384"/>
      <c r="E31" s="384"/>
      <c r="F31" s="384"/>
      <c r="G31" s="385"/>
    </row>
    <row r="32" spans="2:7" ht="65.25" customHeight="1" thickBot="1" x14ac:dyDescent="0.3">
      <c r="B32" s="380" t="s">
        <v>172</v>
      </c>
      <c r="C32" s="381"/>
      <c r="D32" s="381"/>
      <c r="E32" s="381"/>
      <c r="F32" s="381"/>
      <c r="G32" s="382"/>
    </row>
    <row r="33" spans="2:8" ht="15.75" thickBot="1" x14ac:dyDescent="0.3">
      <c r="B33" s="12" t="s">
        <v>34</v>
      </c>
      <c r="C33" s="13" t="s">
        <v>28</v>
      </c>
      <c r="D33" s="71" t="s">
        <v>29</v>
      </c>
      <c r="E33" s="71" t="s">
        <v>30</v>
      </c>
      <c r="F33" s="71" t="s">
        <v>31</v>
      </c>
      <c r="G33" s="72" t="s">
        <v>32</v>
      </c>
    </row>
    <row r="34" spans="2:8" x14ac:dyDescent="0.25">
      <c r="B34" s="10" t="s">
        <v>190</v>
      </c>
      <c r="C34" s="11" t="s">
        <v>229</v>
      </c>
      <c r="D34" s="70" t="s">
        <v>65</v>
      </c>
      <c r="E34" s="61">
        <v>1</v>
      </c>
      <c r="F34" s="85">
        <v>4.99</v>
      </c>
      <c r="G34" s="86">
        <f>E34*F34</f>
        <v>4.99</v>
      </c>
      <c r="H34" s="1">
        <v>10.63</v>
      </c>
    </row>
    <row r="35" spans="2:8" x14ac:dyDescent="0.25">
      <c r="B35" s="7" t="s">
        <v>196</v>
      </c>
      <c r="C35" s="5" t="s">
        <v>221</v>
      </c>
      <c r="D35" s="15" t="s">
        <v>87</v>
      </c>
      <c r="E35" s="2">
        <v>0.3</v>
      </c>
      <c r="F35" s="85">
        <f>H35*0.97</f>
        <v>7.6435999999999993</v>
      </c>
      <c r="G35" s="86">
        <f>ROUND(E35*F35,2)</f>
        <v>2.29</v>
      </c>
      <c r="H35" s="1">
        <v>7.88</v>
      </c>
    </row>
    <row r="36" spans="2:8" x14ac:dyDescent="0.25">
      <c r="B36" s="93" t="s">
        <v>191</v>
      </c>
      <c r="C36" s="5" t="s">
        <v>193</v>
      </c>
      <c r="D36" s="15" t="s">
        <v>87</v>
      </c>
      <c r="E36" s="1">
        <v>0.15</v>
      </c>
      <c r="F36" s="61">
        <v>5.0599999999999996</v>
      </c>
      <c r="G36" s="9">
        <f>ROUND(E36*F36,2)</f>
        <v>0.76</v>
      </c>
      <c r="H36" s="1">
        <v>1.83</v>
      </c>
    </row>
    <row r="37" spans="2:8" ht="15.75" thickBot="1" x14ac:dyDescent="0.3">
      <c r="B37" s="92" t="s">
        <v>192</v>
      </c>
      <c r="C37" s="5" t="s">
        <v>194</v>
      </c>
      <c r="D37" s="15" t="s">
        <v>87</v>
      </c>
      <c r="E37" s="1">
        <v>0.3</v>
      </c>
      <c r="F37" s="61">
        <v>3.41</v>
      </c>
      <c r="G37" s="9">
        <f>ROUND(E37*F37,2)</f>
        <v>1.02</v>
      </c>
      <c r="H37" s="1">
        <v>1.78</v>
      </c>
    </row>
    <row r="38" spans="2:8" x14ac:dyDescent="0.25">
      <c r="B38" s="16" t="s">
        <v>41</v>
      </c>
      <c r="C38" s="24" t="s">
        <v>42</v>
      </c>
      <c r="D38" s="17" t="s">
        <v>43</v>
      </c>
      <c r="E38" s="17" t="s">
        <v>44</v>
      </c>
      <c r="F38" s="20" t="s">
        <v>45</v>
      </c>
      <c r="G38" s="22" t="s">
        <v>46</v>
      </c>
    </row>
    <row r="39" spans="2:8" ht="15.75" thickBot="1" x14ac:dyDescent="0.3">
      <c r="B39" s="18">
        <v>0</v>
      </c>
      <c r="C39" s="94">
        <f>G34</f>
        <v>4.99</v>
      </c>
      <c r="D39" s="94">
        <f>G35+G36+G37</f>
        <v>4.07</v>
      </c>
      <c r="E39" s="19">
        <f>SUM(G36:G37)</f>
        <v>1.78</v>
      </c>
      <c r="F39" s="21">
        <v>0</v>
      </c>
      <c r="G39" s="87">
        <f>SUM(G34:G37)+0.01</f>
        <v>9.07</v>
      </c>
    </row>
  </sheetData>
  <mergeCells count="6">
    <mergeCell ref="B32:G32"/>
    <mergeCell ref="B3:G3"/>
    <mergeCell ref="B4:G4"/>
    <mergeCell ref="B15:G15"/>
    <mergeCell ref="B16:G16"/>
    <mergeCell ref="B31:G31"/>
  </mergeCells>
  <pageMargins left="1.1811023622047245" right="0.78740157480314965" top="0.78740157480314965" bottom="0.78740157480314965" header="0" footer="0"/>
  <pageSetup paperSize="9" scale="75" orientation="portrait" verticalDpi="30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35"/>
  <dimension ref="B2:H39"/>
  <sheetViews>
    <sheetView view="pageBreakPreview" zoomScaleNormal="100" zoomScaleSheetLayoutView="100" workbookViewId="0">
      <selection activeCell="G42" sqref="G42"/>
    </sheetView>
  </sheetViews>
  <sheetFormatPr defaultRowHeight="15" x14ac:dyDescent="0.25"/>
  <cols>
    <col min="2" max="2" width="12.85546875" bestFit="1" customWidth="1"/>
    <col min="3" max="3" width="44.85546875" customWidth="1"/>
    <col min="4" max="4" width="12.7109375" bestFit="1" customWidth="1"/>
    <col min="5" max="5" width="10.140625" bestFit="1" customWidth="1"/>
    <col min="6" max="6" width="10.28515625" bestFit="1" customWidth="1"/>
    <col min="7" max="7" width="15.5703125" bestFit="1" customWidth="1"/>
    <col min="8" max="8" width="0" hidden="1" customWidth="1"/>
  </cols>
  <sheetData>
    <row r="2" spans="2:7" ht="15.75" hidden="1" thickBot="1" x14ac:dyDescent="0.3"/>
    <row r="3" spans="2:7" ht="16.5" hidden="1" thickBot="1" x14ac:dyDescent="0.3">
      <c r="B3" s="383" t="s">
        <v>60</v>
      </c>
      <c r="C3" s="384"/>
      <c r="D3" s="384"/>
      <c r="E3" s="384"/>
      <c r="F3" s="384"/>
      <c r="G3" s="385"/>
    </row>
    <row r="4" spans="2:7" ht="60" hidden="1" customHeight="1" thickBot="1" x14ac:dyDescent="0.3">
      <c r="B4" s="380" t="s">
        <v>78</v>
      </c>
      <c r="C4" s="381"/>
      <c r="D4" s="381"/>
      <c r="E4" s="381"/>
      <c r="F4" s="381"/>
      <c r="G4" s="382"/>
    </row>
    <row r="5" spans="2:7" ht="15.75" hidden="1" thickBot="1" x14ac:dyDescent="0.3">
      <c r="B5" s="12" t="s">
        <v>34</v>
      </c>
      <c r="C5" s="13" t="s">
        <v>28</v>
      </c>
      <c r="D5" s="71" t="s">
        <v>29</v>
      </c>
      <c r="E5" s="71" t="s">
        <v>30</v>
      </c>
      <c r="F5" s="71" t="s">
        <v>31</v>
      </c>
      <c r="G5" s="72" t="s">
        <v>32</v>
      </c>
    </row>
    <row r="6" spans="2:7" hidden="1" x14ac:dyDescent="0.25">
      <c r="B6" s="10" t="s">
        <v>0</v>
      </c>
      <c r="C6" s="11" t="s">
        <v>88</v>
      </c>
      <c r="D6" s="70" t="s">
        <v>29</v>
      </c>
      <c r="E6" s="8">
        <v>1</v>
      </c>
      <c r="F6" s="8">
        <v>107.5</v>
      </c>
      <c r="G6" s="9">
        <v>107.5</v>
      </c>
    </row>
    <row r="7" spans="2:7" hidden="1" x14ac:dyDescent="0.25">
      <c r="B7" s="6" t="s">
        <v>83</v>
      </c>
      <c r="C7" s="5" t="s">
        <v>79</v>
      </c>
      <c r="D7" s="15" t="s">
        <v>87</v>
      </c>
      <c r="E7" s="1">
        <v>0.25</v>
      </c>
      <c r="F7" s="1">
        <v>4.05</v>
      </c>
      <c r="G7" s="9">
        <f>ROUND(E7*F7,2)</f>
        <v>1.01</v>
      </c>
    </row>
    <row r="8" spans="2:7" hidden="1" x14ac:dyDescent="0.25">
      <c r="B8" s="7" t="s">
        <v>84</v>
      </c>
      <c r="C8" s="5" t="s">
        <v>80</v>
      </c>
      <c r="D8" s="15" t="s">
        <v>87</v>
      </c>
      <c r="E8" s="1">
        <v>0.5</v>
      </c>
      <c r="F8" s="1">
        <v>4.05</v>
      </c>
      <c r="G8" s="9">
        <f>ROUND(E8*F8,2)</f>
        <v>2.0299999999999998</v>
      </c>
    </row>
    <row r="9" spans="2:7" hidden="1" x14ac:dyDescent="0.25">
      <c r="B9" s="6" t="s">
        <v>85</v>
      </c>
      <c r="C9" s="5" t="s">
        <v>81</v>
      </c>
      <c r="D9" s="15" t="s">
        <v>87</v>
      </c>
      <c r="E9" s="1">
        <v>0.5</v>
      </c>
      <c r="F9" s="1">
        <v>1.83</v>
      </c>
      <c r="G9" s="9">
        <f>ROUND(E9*F9,2)</f>
        <v>0.92</v>
      </c>
    </row>
    <row r="10" spans="2:7" ht="15.75" hidden="1" thickBot="1" x14ac:dyDescent="0.3">
      <c r="B10" s="6" t="s">
        <v>86</v>
      </c>
      <c r="C10" s="4" t="s">
        <v>82</v>
      </c>
      <c r="D10" s="15" t="s">
        <v>87</v>
      </c>
      <c r="E10" s="1">
        <v>0.25</v>
      </c>
      <c r="F10" s="1">
        <v>2.0099999999999998</v>
      </c>
      <c r="G10" s="9">
        <f>ROUND(E10*F10,2)</f>
        <v>0.5</v>
      </c>
    </row>
    <row r="11" spans="2:7" hidden="1" x14ac:dyDescent="0.25">
      <c r="B11" s="16" t="s">
        <v>41</v>
      </c>
      <c r="C11" s="24" t="s">
        <v>42</v>
      </c>
      <c r="D11" s="17" t="s">
        <v>43</v>
      </c>
      <c r="E11" s="17" t="s">
        <v>44</v>
      </c>
      <c r="F11" s="20" t="s">
        <v>45</v>
      </c>
      <c r="G11" s="22" t="s">
        <v>46</v>
      </c>
    </row>
    <row r="12" spans="2:7" ht="15.75" hidden="1" thickBot="1" x14ac:dyDescent="0.3">
      <c r="B12" s="18">
        <v>0</v>
      </c>
      <c r="C12" s="19">
        <f>G6</f>
        <v>107.5</v>
      </c>
      <c r="D12" s="19">
        <f>SUM(G7:G8)</f>
        <v>3.04</v>
      </c>
      <c r="E12" s="19">
        <f>SUM(G9:G10)</f>
        <v>1.42</v>
      </c>
      <c r="F12" s="21">
        <v>0</v>
      </c>
      <c r="G12" s="23">
        <f>SUM(G6:G10)</f>
        <v>111.96000000000001</v>
      </c>
    </row>
    <row r="13" spans="2:7" hidden="1" x14ac:dyDescent="0.25"/>
    <row r="14" spans="2:7" ht="15.75" hidden="1" thickBot="1" x14ac:dyDescent="0.3"/>
    <row r="15" spans="2:7" ht="16.5" hidden="1" thickBot="1" x14ac:dyDescent="0.3">
      <c r="B15" s="383" t="s">
        <v>60</v>
      </c>
      <c r="C15" s="384"/>
      <c r="D15" s="384"/>
      <c r="E15" s="384"/>
      <c r="F15" s="384"/>
      <c r="G15" s="385"/>
    </row>
    <row r="16" spans="2:7" ht="61.5" hidden="1" customHeight="1" thickBot="1" x14ac:dyDescent="0.3">
      <c r="B16" s="380" t="s">
        <v>89</v>
      </c>
      <c r="C16" s="381"/>
      <c r="D16" s="381"/>
      <c r="E16" s="381"/>
      <c r="F16" s="381"/>
      <c r="G16" s="382"/>
    </row>
    <row r="17" spans="2:7" ht="15.75" hidden="1" thickBot="1" x14ac:dyDescent="0.3">
      <c r="B17" s="12" t="s">
        <v>34</v>
      </c>
      <c r="C17" s="13" t="s">
        <v>28</v>
      </c>
      <c r="D17" s="71" t="s">
        <v>29</v>
      </c>
      <c r="E17" s="71" t="s">
        <v>30</v>
      </c>
      <c r="F17" s="71" t="s">
        <v>31</v>
      </c>
      <c r="G17" s="72" t="s">
        <v>32</v>
      </c>
    </row>
    <row r="18" spans="2:7" ht="15.75" hidden="1" customHeight="1" x14ac:dyDescent="0.25">
      <c r="B18" s="10" t="s">
        <v>0</v>
      </c>
      <c r="C18" s="11" t="s">
        <v>90</v>
      </c>
      <c r="D18" s="70" t="s">
        <v>29</v>
      </c>
      <c r="E18" s="8">
        <v>1</v>
      </c>
      <c r="F18" s="8">
        <v>107.5</v>
      </c>
      <c r="G18" s="9">
        <v>302.57</v>
      </c>
    </row>
    <row r="19" spans="2:7" hidden="1" x14ac:dyDescent="0.25">
      <c r="B19" s="6" t="s">
        <v>83</v>
      </c>
      <c r="C19" s="5" t="s">
        <v>79</v>
      </c>
      <c r="D19" s="15" t="s">
        <v>87</v>
      </c>
      <c r="E19" s="1">
        <v>0.25</v>
      </c>
      <c r="F19" s="1">
        <v>4.05</v>
      </c>
      <c r="G19" s="9">
        <f>ROUND(E19*F19,2)</f>
        <v>1.01</v>
      </c>
    </row>
    <row r="20" spans="2:7" hidden="1" x14ac:dyDescent="0.25">
      <c r="B20" s="7" t="s">
        <v>84</v>
      </c>
      <c r="C20" s="5" t="s">
        <v>80</v>
      </c>
      <c r="D20" s="15" t="s">
        <v>87</v>
      </c>
      <c r="E20" s="1">
        <v>0.5</v>
      </c>
      <c r="F20" s="1">
        <v>4.05</v>
      </c>
      <c r="G20" s="9">
        <f>ROUND(E20*F20,2)</f>
        <v>2.0299999999999998</v>
      </c>
    </row>
    <row r="21" spans="2:7" hidden="1" x14ac:dyDescent="0.25">
      <c r="B21" s="6" t="s">
        <v>85</v>
      </c>
      <c r="C21" s="5" t="s">
        <v>81</v>
      </c>
      <c r="D21" s="15" t="s">
        <v>87</v>
      </c>
      <c r="E21" s="1">
        <v>0.5</v>
      </c>
      <c r="F21" s="1">
        <v>1.83</v>
      </c>
      <c r="G21" s="9">
        <f>ROUND(E21*F21,2)</f>
        <v>0.92</v>
      </c>
    </row>
    <row r="22" spans="2:7" ht="15.75" hidden="1" thickBot="1" x14ac:dyDescent="0.3">
      <c r="B22" s="6" t="s">
        <v>86</v>
      </c>
      <c r="C22" s="4" t="s">
        <v>82</v>
      </c>
      <c r="D22" s="15" t="s">
        <v>87</v>
      </c>
      <c r="E22" s="1">
        <v>0.25</v>
      </c>
      <c r="F22" s="1">
        <v>2.0099999999999998</v>
      </c>
      <c r="G22" s="9">
        <f>ROUND(E22*F22,2)</f>
        <v>0.5</v>
      </c>
    </row>
    <row r="23" spans="2:7" hidden="1" x14ac:dyDescent="0.25">
      <c r="B23" s="16" t="s">
        <v>41</v>
      </c>
      <c r="C23" s="24" t="s">
        <v>42</v>
      </c>
      <c r="D23" s="17" t="s">
        <v>43</v>
      </c>
      <c r="E23" s="17" t="s">
        <v>44</v>
      </c>
      <c r="F23" s="20" t="s">
        <v>45</v>
      </c>
      <c r="G23" s="22" t="s">
        <v>46</v>
      </c>
    </row>
    <row r="24" spans="2:7" ht="15.75" hidden="1" thickBot="1" x14ac:dyDescent="0.3">
      <c r="B24" s="18">
        <v>0</v>
      </c>
      <c r="C24" s="19">
        <f>G18</f>
        <v>302.57</v>
      </c>
      <c r="D24" s="19">
        <f>SUM(G19:G20)</f>
        <v>3.04</v>
      </c>
      <c r="E24" s="19">
        <f>SUM(G21:G22)</f>
        <v>1.42</v>
      </c>
      <c r="F24" s="21">
        <v>0</v>
      </c>
      <c r="G24" s="23">
        <f>SUM(G18:G22)</f>
        <v>307.02999999999997</v>
      </c>
    </row>
    <row r="25" spans="2:7" hidden="1" x14ac:dyDescent="0.25"/>
    <row r="26" spans="2:7" hidden="1" x14ac:dyDescent="0.25"/>
    <row r="30" spans="2:7" ht="15.75" thickBot="1" x14ac:dyDescent="0.3"/>
    <row r="31" spans="2:7" ht="16.5" thickBot="1" x14ac:dyDescent="0.3">
      <c r="B31" s="383" t="s">
        <v>60</v>
      </c>
      <c r="C31" s="384"/>
      <c r="D31" s="384"/>
      <c r="E31" s="384"/>
      <c r="F31" s="384"/>
      <c r="G31" s="385"/>
    </row>
    <row r="32" spans="2:7" ht="65.25" customHeight="1" thickBot="1" x14ac:dyDescent="0.3">
      <c r="B32" s="380" t="s">
        <v>173</v>
      </c>
      <c r="C32" s="381"/>
      <c r="D32" s="381"/>
      <c r="E32" s="381"/>
      <c r="F32" s="381"/>
      <c r="G32" s="382"/>
    </row>
    <row r="33" spans="2:8" ht="15.75" thickBot="1" x14ac:dyDescent="0.3">
      <c r="B33" s="12" t="s">
        <v>34</v>
      </c>
      <c r="C33" s="13" t="s">
        <v>28</v>
      </c>
      <c r="D33" s="71" t="s">
        <v>29</v>
      </c>
      <c r="E33" s="71" t="s">
        <v>30</v>
      </c>
      <c r="F33" s="71" t="s">
        <v>31</v>
      </c>
      <c r="G33" s="72" t="s">
        <v>32</v>
      </c>
    </row>
    <row r="34" spans="2:8" x14ac:dyDescent="0.25">
      <c r="B34" s="10" t="s">
        <v>190</v>
      </c>
      <c r="C34" s="11" t="s">
        <v>230</v>
      </c>
      <c r="D34" s="70" t="s">
        <v>29</v>
      </c>
      <c r="E34" s="61">
        <v>1</v>
      </c>
      <c r="F34" s="85">
        <v>1.46</v>
      </c>
      <c r="G34" s="86">
        <f>E34*F34</f>
        <v>1.46</v>
      </c>
      <c r="H34" s="1">
        <v>10.63</v>
      </c>
    </row>
    <row r="35" spans="2:8" x14ac:dyDescent="0.25">
      <c r="B35" s="7" t="s">
        <v>196</v>
      </c>
      <c r="C35" s="5" t="s">
        <v>221</v>
      </c>
      <c r="D35" s="15" t="s">
        <v>87</v>
      </c>
      <c r="E35" s="2">
        <v>0.1</v>
      </c>
      <c r="F35" s="85">
        <f>H35*0.97</f>
        <v>7.6435999999999993</v>
      </c>
      <c r="G35" s="86">
        <f>ROUND(E35*F35,2)</f>
        <v>0.76</v>
      </c>
      <c r="H35" s="1">
        <v>7.88</v>
      </c>
    </row>
    <row r="36" spans="2:8" x14ac:dyDescent="0.25">
      <c r="B36" s="93" t="s">
        <v>191</v>
      </c>
      <c r="C36" s="5" t="s">
        <v>193</v>
      </c>
      <c r="D36" s="15" t="s">
        <v>87</v>
      </c>
      <c r="E36" s="1">
        <v>0.1</v>
      </c>
      <c r="F36" s="61">
        <v>5.0599999999999996</v>
      </c>
      <c r="G36" s="9">
        <f>ROUND(E36*F36,2)</f>
        <v>0.51</v>
      </c>
      <c r="H36" s="1">
        <v>1.83</v>
      </c>
    </row>
    <row r="37" spans="2:8" ht="15.75" thickBot="1" x14ac:dyDescent="0.3">
      <c r="B37" s="92" t="s">
        <v>192</v>
      </c>
      <c r="C37" s="5" t="s">
        <v>194</v>
      </c>
      <c r="D37" s="15" t="s">
        <v>87</v>
      </c>
      <c r="E37" s="1">
        <v>0.1</v>
      </c>
      <c r="F37" s="61">
        <v>3.41</v>
      </c>
      <c r="G37" s="9">
        <f>ROUND(E37*F37,2)</f>
        <v>0.34</v>
      </c>
      <c r="H37" s="1">
        <v>1.78</v>
      </c>
    </row>
    <row r="38" spans="2:8" x14ac:dyDescent="0.25">
      <c r="B38" s="16" t="s">
        <v>41</v>
      </c>
      <c r="C38" s="24" t="s">
        <v>42</v>
      </c>
      <c r="D38" s="17" t="s">
        <v>43</v>
      </c>
      <c r="E38" s="17" t="s">
        <v>44</v>
      </c>
      <c r="F38" s="20" t="s">
        <v>45</v>
      </c>
      <c r="G38" s="22" t="s">
        <v>46</v>
      </c>
    </row>
    <row r="39" spans="2:8" ht="15.75" thickBot="1" x14ac:dyDescent="0.3">
      <c r="B39" s="18">
        <v>0</v>
      </c>
      <c r="C39" s="94">
        <f>G34</f>
        <v>1.46</v>
      </c>
      <c r="D39" s="94">
        <f>G35+G36+G37</f>
        <v>1.61</v>
      </c>
      <c r="E39" s="19">
        <f>SUM(G36:G37)</f>
        <v>0.85000000000000009</v>
      </c>
      <c r="F39" s="21">
        <v>0</v>
      </c>
      <c r="G39" s="87">
        <f>SUM(G34:G37)+0.01</f>
        <v>3.0799999999999992</v>
      </c>
    </row>
  </sheetData>
  <mergeCells count="6">
    <mergeCell ref="B32:G32"/>
    <mergeCell ref="B3:G3"/>
    <mergeCell ref="B4:G4"/>
    <mergeCell ref="B15:G15"/>
    <mergeCell ref="B16:G16"/>
    <mergeCell ref="B31:G31"/>
  </mergeCells>
  <pageMargins left="1.1811023622047245" right="0.78740157480314965" top="0.78740157480314965" bottom="0.78740157480314965" header="0" footer="0"/>
  <pageSetup paperSize="9" scale="75" orientation="portrait" verticalDpi="3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36"/>
  <dimension ref="B2:H39"/>
  <sheetViews>
    <sheetView view="pageBreakPreview" zoomScaleNormal="100" zoomScaleSheetLayoutView="100" workbookViewId="0">
      <selection activeCell="G43" sqref="G43"/>
    </sheetView>
  </sheetViews>
  <sheetFormatPr defaultRowHeight="15" x14ac:dyDescent="0.25"/>
  <cols>
    <col min="2" max="2" width="12.85546875" bestFit="1" customWidth="1"/>
    <col min="3" max="3" width="44.85546875" customWidth="1"/>
    <col min="4" max="4" width="12.7109375" bestFit="1" customWidth="1"/>
    <col min="5" max="5" width="10.140625" bestFit="1" customWidth="1"/>
    <col min="6" max="6" width="10.28515625" bestFit="1" customWidth="1"/>
    <col min="7" max="7" width="15.5703125" bestFit="1" customWidth="1"/>
    <col min="8" max="8" width="0" hidden="1" customWidth="1"/>
  </cols>
  <sheetData>
    <row r="2" spans="2:7" ht="15.75" hidden="1" thickBot="1" x14ac:dyDescent="0.3"/>
    <row r="3" spans="2:7" ht="16.5" hidden="1" thickBot="1" x14ac:dyDescent="0.3">
      <c r="B3" s="383" t="s">
        <v>60</v>
      </c>
      <c r="C3" s="384"/>
      <c r="D3" s="384"/>
      <c r="E3" s="384"/>
      <c r="F3" s="384"/>
      <c r="G3" s="385"/>
    </row>
    <row r="4" spans="2:7" ht="60" hidden="1" customHeight="1" thickBot="1" x14ac:dyDescent="0.3">
      <c r="B4" s="380" t="s">
        <v>78</v>
      </c>
      <c r="C4" s="381"/>
      <c r="D4" s="381"/>
      <c r="E4" s="381"/>
      <c r="F4" s="381"/>
      <c r="G4" s="382"/>
    </row>
    <row r="5" spans="2:7" ht="15.75" hidden="1" thickBot="1" x14ac:dyDescent="0.3">
      <c r="B5" s="12" t="s">
        <v>34</v>
      </c>
      <c r="C5" s="13" t="s">
        <v>28</v>
      </c>
      <c r="D5" s="71" t="s">
        <v>29</v>
      </c>
      <c r="E5" s="71" t="s">
        <v>30</v>
      </c>
      <c r="F5" s="71" t="s">
        <v>31</v>
      </c>
      <c r="G5" s="72" t="s">
        <v>32</v>
      </c>
    </row>
    <row r="6" spans="2:7" hidden="1" x14ac:dyDescent="0.25">
      <c r="B6" s="10" t="s">
        <v>0</v>
      </c>
      <c r="C6" s="11" t="s">
        <v>88</v>
      </c>
      <c r="D6" s="70" t="s">
        <v>29</v>
      </c>
      <c r="E6" s="8">
        <v>1</v>
      </c>
      <c r="F6" s="8">
        <v>107.5</v>
      </c>
      <c r="G6" s="9">
        <v>107.5</v>
      </c>
    </row>
    <row r="7" spans="2:7" hidden="1" x14ac:dyDescent="0.25">
      <c r="B7" s="6" t="s">
        <v>83</v>
      </c>
      <c r="C7" s="5" t="s">
        <v>79</v>
      </c>
      <c r="D7" s="15" t="s">
        <v>87</v>
      </c>
      <c r="E7" s="1">
        <v>0.25</v>
      </c>
      <c r="F7" s="1">
        <v>4.05</v>
      </c>
      <c r="G7" s="9">
        <f>ROUND(E7*F7,2)</f>
        <v>1.01</v>
      </c>
    </row>
    <row r="8" spans="2:7" hidden="1" x14ac:dyDescent="0.25">
      <c r="B8" s="7" t="s">
        <v>84</v>
      </c>
      <c r="C8" s="5" t="s">
        <v>80</v>
      </c>
      <c r="D8" s="15" t="s">
        <v>87</v>
      </c>
      <c r="E8" s="1">
        <v>0.5</v>
      </c>
      <c r="F8" s="1">
        <v>4.05</v>
      </c>
      <c r="G8" s="9">
        <f>ROUND(E8*F8,2)</f>
        <v>2.0299999999999998</v>
      </c>
    </row>
    <row r="9" spans="2:7" hidden="1" x14ac:dyDescent="0.25">
      <c r="B9" s="6" t="s">
        <v>85</v>
      </c>
      <c r="C9" s="5" t="s">
        <v>81</v>
      </c>
      <c r="D9" s="15" t="s">
        <v>87</v>
      </c>
      <c r="E9" s="1">
        <v>0.5</v>
      </c>
      <c r="F9" s="1">
        <v>1.83</v>
      </c>
      <c r="G9" s="9">
        <f>ROUND(E9*F9,2)</f>
        <v>0.92</v>
      </c>
    </row>
    <row r="10" spans="2:7" ht="15.75" hidden="1" thickBot="1" x14ac:dyDescent="0.3">
      <c r="B10" s="6" t="s">
        <v>86</v>
      </c>
      <c r="C10" s="4" t="s">
        <v>82</v>
      </c>
      <c r="D10" s="15" t="s">
        <v>87</v>
      </c>
      <c r="E10" s="1">
        <v>0.25</v>
      </c>
      <c r="F10" s="1">
        <v>2.0099999999999998</v>
      </c>
      <c r="G10" s="9">
        <f>ROUND(E10*F10,2)</f>
        <v>0.5</v>
      </c>
    </row>
    <row r="11" spans="2:7" hidden="1" x14ac:dyDescent="0.25">
      <c r="B11" s="16" t="s">
        <v>41</v>
      </c>
      <c r="C11" s="24" t="s">
        <v>42</v>
      </c>
      <c r="D11" s="17" t="s">
        <v>43</v>
      </c>
      <c r="E11" s="17" t="s">
        <v>44</v>
      </c>
      <c r="F11" s="20" t="s">
        <v>45</v>
      </c>
      <c r="G11" s="22" t="s">
        <v>46</v>
      </c>
    </row>
    <row r="12" spans="2:7" ht="15.75" hidden="1" thickBot="1" x14ac:dyDescent="0.3">
      <c r="B12" s="18">
        <v>0</v>
      </c>
      <c r="C12" s="19">
        <f>G6</f>
        <v>107.5</v>
      </c>
      <c r="D12" s="19">
        <f>SUM(G7:G8)</f>
        <v>3.04</v>
      </c>
      <c r="E12" s="19">
        <f>SUM(G9:G10)</f>
        <v>1.42</v>
      </c>
      <c r="F12" s="21">
        <v>0</v>
      </c>
      <c r="G12" s="23">
        <f>SUM(G6:G10)</f>
        <v>111.96000000000001</v>
      </c>
    </row>
    <row r="13" spans="2:7" hidden="1" x14ac:dyDescent="0.25"/>
    <row r="14" spans="2:7" ht="15.75" hidden="1" thickBot="1" x14ac:dyDescent="0.3"/>
    <row r="15" spans="2:7" ht="16.5" hidden="1" thickBot="1" x14ac:dyDescent="0.3">
      <c r="B15" s="383" t="s">
        <v>60</v>
      </c>
      <c r="C15" s="384"/>
      <c r="D15" s="384"/>
      <c r="E15" s="384"/>
      <c r="F15" s="384"/>
      <c r="G15" s="385"/>
    </row>
    <row r="16" spans="2:7" ht="61.5" hidden="1" customHeight="1" thickBot="1" x14ac:dyDescent="0.3">
      <c r="B16" s="380" t="s">
        <v>89</v>
      </c>
      <c r="C16" s="381"/>
      <c r="D16" s="381"/>
      <c r="E16" s="381"/>
      <c r="F16" s="381"/>
      <c r="G16" s="382"/>
    </row>
    <row r="17" spans="2:7" ht="15.75" hidden="1" thickBot="1" x14ac:dyDescent="0.3">
      <c r="B17" s="12" t="s">
        <v>34</v>
      </c>
      <c r="C17" s="13" t="s">
        <v>28</v>
      </c>
      <c r="D17" s="71" t="s">
        <v>29</v>
      </c>
      <c r="E17" s="71" t="s">
        <v>30</v>
      </c>
      <c r="F17" s="71" t="s">
        <v>31</v>
      </c>
      <c r="G17" s="72" t="s">
        <v>32</v>
      </c>
    </row>
    <row r="18" spans="2:7" ht="15.75" hidden="1" customHeight="1" x14ac:dyDescent="0.25">
      <c r="B18" s="10" t="s">
        <v>0</v>
      </c>
      <c r="C18" s="11" t="s">
        <v>90</v>
      </c>
      <c r="D18" s="70" t="s">
        <v>29</v>
      </c>
      <c r="E18" s="8">
        <v>1</v>
      </c>
      <c r="F18" s="8">
        <v>107.5</v>
      </c>
      <c r="G18" s="9">
        <v>302.57</v>
      </c>
    </row>
    <row r="19" spans="2:7" hidden="1" x14ac:dyDescent="0.25">
      <c r="B19" s="6" t="s">
        <v>83</v>
      </c>
      <c r="C19" s="5" t="s">
        <v>79</v>
      </c>
      <c r="D19" s="15" t="s">
        <v>87</v>
      </c>
      <c r="E19" s="1">
        <v>0.25</v>
      </c>
      <c r="F19" s="1">
        <v>4.05</v>
      </c>
      <c r="G19" s="9">
        <f>ROUND(E19*F19,2)</f>
        <v>1.01</v>
      </c>
    </row>
    <row r="20" spans="2:7" hidden="1" x14ac:dyDescent="0.25">
      <c r="B20" s="7" t="s">
        <v>84</v>
      </c>
      <c r="C20" s="5" t="s">
        <v>80</v>
      </c>
      <c r="D20" s="15" t="s">
        <v>87</v>
      </c>
      <c r="E20" s="1">
        <v>0.5</v>
      </c>
      <c r="F20" s="1">
        <v>4.05</v>
      </c>
      <c r="G20" s="9">
        <f>ROUND(E20*F20,2)</f>
        <v>2.0299999999999998</v>
      </c>
    </row>
    <row r="21" spans="2:7" hidden="1" x14ac:dyDescent="0.25">
      <c r="B21" s="6" t="s">
        <v>85</v>
      </c>
      <c r="C21" s="5" t="s">
        <v>81</v>
      </c>
      <c r="D21" s="15" t="s">
        <v>87</v>
      </c>
      <c r="E21" s="1">
        <v>0.5</v>
      </c>
      <c r="F21" s="1">
        <v>1.83</v>
      </c>
      <c r="G21" s="9">
        <f>ROUND(E21*F21,2)</f>
        <v>0.92</v>
      </c>
    </row>
    <row r="22" spans="2:7" ht="15.75" hidden="1" thickBot="1" x14ac:dyDescent="0.3">
      <c r="B22" s="6" t="s">
        <v>86</v>
      </c>
      <c r="C22" s="4" t="s">
        <v>82</v>
      </c>
      <c r="D22" s="15" t="s">
        <v>87</v>
      </c>
      <c r="E22" s="1">
        <v>0.25</v>
      </c>
      <c r="F22" s="1">
        <v>2.0099999999999998</v>
      </c>
      <c r="G22" s="9">
        <f>ROUND(E22*F22,2)</f>
        <v>0.5</v>
      </c>
    </row>
    <row r="23" spans="2:7" hidden="1" x14ac:dyDescent="0.25">
      <c r="B23" s="16" t="s">
        <v>41</v>
      </c>
      <c r="C23" s="24" t="s">
        <v>42</v>
      </c>
      <c r="D23" s="17" t="s">
        <v>43</v>
      </c>
      <c r="E23" s="17" t="s">
        <v>44</v>
      </c>
      <c r="F23" s="20" t="s">
        <v>45</v>
      </c>
      <c r="G23" s="22" t="s">
        <v>46</v>
      </c>
    </row>
    <row r="24" spans="2:7" ht="15.75" hidden="1" thickBot="1" x14ac:dyDescent="0.3">
      <c r="B24" s="18">
        <v>0</v>
      </c>
      <c r="C24" s="19">
        <f>G18</f>
        <v>302.57</v>
      </c>
      <c r="D24" s="19">
        <f>SUM(G19:G20)</f>
        <v>3.04</v>
      </c>
      <c r="E24" s="19">
        <f>SUM(G21:G22)</f>
        <v>1.42</v>
      </c>
      <c r="F24" s="21">
        <v>0</v>
      </c>
      <c r="G24" s="23">
        <f>SUM(G18:G22)</f>
        <v>307.02999999999997</v>
      </c>
    </row>
    <row r="25" spans="2:7" hidden="1" x14ac:dyDescent="0.25"/>
    <row r="26" spans="2:7" hidden="1" x14ac:dyDescent="0.25"/>
    <row r="30" spans="2:7" ht="15.75" thickBot="1" x14ac:dyDescent="0.3"/>
    <row r="31" spans="2:7" ht="16.5" thickBot="1" x14ac:dyDescent="0.3">
      <c r="B31" s="383" t="s">
        <v>60</v>
      </c>
      <c r="C31" s="384"/>
      <c r="D31" s="384"/>
      <c r="E31" s="384"/>
      <c r="F31" s="384"/>
      <c r="G31" s="385"/>
    </row>
    <row r="32" spans="2:7" ht="65.25" customHeight="1" thickBot="1" x14ac:dyDescent="0.3">
      <c r="B32" s="380" t="s">
        <v>174</v>
      </c>
      <c r="C32" s="381"/>
      <c r="D32" s="381"/>
      <c r="E32" s="381"/>
      <c r="F32" s="381"/>
      <c r="G32" s="382"/>
    </row>
    <row r="33" spans="2:8" ht="15.75" thickBot="1" x14ac:dyDescent="0.3">
      <c r="B33" s="12" t="s">
        <v>34</v>
      </c>
      <c r="C33" s="13" t="s">
        <v>28</v>
      </c>
      <c r="D33" s="71" t="s">
        <v>29</v>
      </c>
      <c r="E33" s="71" t="s">
        <v>30</v>
      </c>
      <c r="F33" s="71" t="s">
        <v>31</v>
      </c>
      <c r="G33" s="72" t="s">
        <v>32</v>
      </c>
    </row>
    <row r="34" spans="2:8" x14ac:dyDescent="0.25">
      <c r="B34" s="10" t="s">
        <v>190</v>
      </c>
      <c r="C34" s="11" t="s">
        <v>231</v>
      </c>
      <c r="D34" s="70" t="s">
        <v>29</v>
      </c>
      <c r="E34" s="61">
        <v>1</v>
      </c>
      <c r="F34" s="85">
        <v>4.0199999999999996</v>
      </c>
      <c r="G34" s="86">
        <f>E34*F34</f>
        <v>4.0199999999999996</v>
      </c>
      <c r="H34" s="1">
        <v>10.63</v>
      </c>
    </row>
    <row r="35" spans="2:8" x14ac:dyDescent="0.25">
      <c r="B35" s="7" t="s">
        <v>196</v>
      </c>
      <c r="C35" s="5" t="s">
        <v>221</v>
      </c>
      <c r="D35" s="15" t="s">
        <v>87</v>
      </c>
      <c r="E35" s="2">
        <v>0.4</v>
      </c>
      <c r="F35" s="85">
        <f>H35*0.97</f>
        <v>7.6435999999999993</v>
      </c>
      <c r="G35" s="86">
        <f>ROUND(E35*F35,2)</f>
        <v>3.06</v>
      </c>
      <c r="H35" s="1">
        <v>7.88</v>
      </c>
    </row>
    <row r="36" spans="2:8" x14ac:dyDescent="0.25">
      <c r="B36" s="93" t="s">
        <v>191</v>
      </c>
      <c r="C36" s="5" t="s">
        <v>193</v>
      </c>
      <c r="D36" s="15" t="s">
        <v>87</v>
      </c>
      <c r="E36" s="1">
        <v>0.1</v>
      </c>
      <c r="F36" s="61">
        <v>5.0599999999999996</v>
      </c>
      <c r="G36" s="9">
        <f>ROUND(E36*F36,2)</f>
        <v>0.51</v>
      </c>
      <c r="H36" s="1">
        <v>1.83</v>
      </c>
    </row>
    <row r="37" spans="2:8" ht="15.75" thickBot="1" x14ac:dyDescent="0.3">
      <c r="B37" s="92" t="s">
        <v>192</v>
      </c>
      <c r="C37" s="5" t="s">
        <v>194</v>
      </c>
      <c r="D37" s="15" t="s">
        <v>87</v>
      </c>
      <c r="E37" s="1">
        <v>0.4</v>
      </c>
      <c r="F37" s="61">
        <v>3.41</v>
      </c>
      <c r="G37" s="9">
        <f>ROUND(E37*F37,2)</f>
        <v>1.36</v>
      </c>
      <c r="H37" s="1">
        <v>1.78</v>
      </c>
    </row>
    <row r="38" spans="2:8" x14ac:dyDescent="0.25">
      <c r="B38" s="16" t="s">
        <v>41</v>
      </c>
      <c r="C38" s="24" t="s">
        <v>42</v>
      </c>
      <c r="D38" s="17" t="s">
        <v>43</v>
      </c>
      <c r="E38" s="17" t="s">
        <v>44</v>
      </c>
      <c r="F38" s="20" t="s">
        <v>45</v>
      </c>
      <c r="G38" s="22" t="s">
        <v>46</v>
      </c>
    </row>
    <row r="39" spans="2:8" ht="15.75" thickBot="1" x14ac:dyDescent="0.3">
      <c r="B39" s="18">
        <v>0</v>
      </c>
      <c r="C39" s="94">
        <f>G34</f>
        <v>4.0199999999999996</v>
      </c>
      <c r="D39" s="94">
        <f>G35+G36+G37</f>
        <v>4.9300000000000006</v>
      </c>
      <c r="E39" s="19">
        <f>SUM(G36:G37)</f>
        <v>1.87</v>
      </c>
      <c r="F39" s="21">
        <v>0</v>
      </c>
      <c r="G39" s="87">
        <f>SUM(G34:G37)+0.01</f>
        <v>8.9599999999999991</v>
      </c>
    </row>
  </sheetData>
  <mergeCells count="6">
    <mergeCell ref="B32:G32"/>
    <mergeCell ref="B3:G3"/>
    <mergeCell ref="B4:G4"/>
    <mergeCell ref="B15:G15"/>
    <mergeCell ref="B16:G16"/>
    <mergeCell ref="B31:G31"/>
  </mergeCells>
  <pageMargins left="1.1811023622047245" right="0.78740157480314965" top="0.78740157480314965" bottom="0.78740157480314965" header="0" footer="0"/>
  <pageSetup paperSize="9" scale="75" orientation="portrait" verticalDpi="30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37"/>
  <dimension ref="B2:H39"/>
  <sheetViews>
    <sheetView view="pageBreakPreview" zoomScaleNormal="100" zoomScaleSheetLayoutView="100" workbookViewId="0">
      <selection activeCell="B34" sqref="B34:G39"/>
    </sheetView>
  </sheetViews>
  <sheetFormatPr defaultRowHeight="15" x14ac:dyDescent="0.25"/>
  <cols>
    <col min="2" max="2" width="12.85546875" bestFit="1" customWidth="1"/>
    <col min="3" max="3" width="44.85546875" customWidth="1"/>
    <col min="4" max="4" width="12.7109375" bestFit="1" customWidth="1"/>
    <col min="5" max="5" width="10.140625" bestFit="1" customWidth="1"/>
    <col min="6" max="6" width="10.28515625" bestFit="1" customWidth="1"/>
    <col min="7" max="7" width="15.5703125" bestFit="1" customWidth="1"/>
    <col min="8" max="8" width="0" hidden="1" customWidth="1"/>
  </cols>
  <sheetData>
    <row r="2" spans="2:7" ht="15.75" hidden="1" thickBot="1" x14ac:dyDescent="0.3"/>
    <row r="3" spans="2:7" ht="16.5" hidden="1" thickBot="1" x14ac:dyDescent="0.3">
      <c r="B3" s="383" t="s">
        <v>60</v>
      </c>
      <c r="C3" s="384"/>
      <c r="D3" s="384"/>
      <c r="E3" s="384"/>
      <c r="F3" s="384"/>
      <c r="G3" s="385"/>
    </row>
    <row r="4" spans="2:7" ht="60" hidden="1" customHeight="1" thickBot="1" x14ac:dyDescent="0.3">
      <c r="B4" s="380" t="s">
        <v>78</v>
      </c>
      <c r="C4" s="381"/>
      <c r="D4" s="381"/>
      <c r="E4" s="381"/>
      <c r="F4" s="381"/>
      <c r="G4" s="382"/>
    </row>
    <row r="5" spans="2:7" ht="15.75" hidden="1" thickBot="1" x14ac:dyDescent="0.3">
      <c r="B5" s="12" t="s">
        <v>34</v>
      </c>
      <c r="C5" s="13" t="s">
        <v>28</v>
      </c>
      <c r="D5" s="71" t="s">
        <v>29</v>
      </c>
      <c r="E5" s="71" t="s">
        <v>30</v>
      </c>
      <c r="F5" s="71" t="s">
        <v>31</v>
      </c>
      <c r="G5" s="72" t="s">
        <v>32</v>
      </c>
    </row>
    <row r="6" spans="2:7" hidden="1" x14ac:dyDescent="0.25">
      <c r="B6" s="10" t="s">
        <v>0</v>
      </c>
      <c r="C6" s="11" t="s">
        <v>88</v>
      </c>
      <c r="D6" s="70" t="s">
        <v>29</v>
      </c>
      <c r="E6" s="8">
        <v>1</v>
      </c>
      <c r="F6" s="8">
        <v>107.5</v>
      </c>
      <c r="G6" s="9">
        <v>107.5</v>
      </c>
    </row>
    <row r="7" spans="2:7" hidden="1" x14ac:dyDescent="0.25">
      <c r="B7" s="6" t="s">
        <v>83</v>
      </c>
      <c r="C7" s="5" t="s">
        <v>79</v>
      </c>
      <c r="D7" s="15" t="s">
        <v>87</v>
      </c>
      <c r="E7" s="1">
        <v>0.25</v>
      </c>
      <c r="F7" s="1">
        <v>4.05</v>
      </c>
      <c r="G7" s="9">
        <f>ROUND(E7*F7,2)</f>
        <v>1.01</v>
      </c>
    </row>
    <row r="8" spans="2:7" hidden="1" x14ac:dyDescent="0.25">
      <c r="B8" s="7" t="s">
        <v>84</v>
      </c>
      <c r="C8" s="5" t="s">
        <v>80</v>
      </c>
      <c r="D8" s="15" t="s">
        <v>87</v>
      </c>
      <c r="E8" s="1">
        <v>0.5</v>
      </c>
      <c r="F8" s="1">
        <v>4.05</v>
      </c>
      <c r="G8" s="9">
        <f>ROUND(E8*F8,2)</f>
        <v>2.0299999999999998</v>
      </c>
    </row>
    <row r="9" spans="2:7" hidden="1" x14ac:dyDescent="0.25">
      <c r="B9" s="6" t="s">
        <v>85</v>
      </c>
      <c r="C9" s="5" t="s">
        <v>81</v>
      </c>
      <c r="D9" s="15" t="s">
        <v>87</v>
      </c>
      <c r="E9" s="1">
        <v>0.5</v>
      </c>
      <c r="F9" s="1">
        <v>1.83</v>
      </c>
      <c r="G9" s="9">
        <f>ROUND(E9*F9,2)</f>
        <v>0.92</v>
      </c>
    </row>
    <row r="10" spans="2:7" ht="15.75" hidden="1" thickBot="1" x14ac:dyDescent="0.3">
      <c r="B10" s="6" t="s">
        <v>86</v>
      </c>
      <c r="C10" s="4" t="s">
        <v>82</v>
      </c>
      <c r="D10" s="15" t="s">
        <v>87</v>
      </c>
      <c r="E10" s="1">
        <v>0.25</v>
      </c>
      <c r="F10" s="1">
        <v>2.0099999999999998</v>
      </c>
      <c r="G10" s="9">
        <f>ROUND(E10*F10,2)</f>
        <v>0.5</v>
      </c>
    </row>
    <row r="11" spans="2:7" hidden="1" x14ac:dyDescent="0.25">
      <c r="B11" s="16" t="s">
        <v>41</v>
      </c>
      <c r="C11" s="24" t="s">
        <v>42</v>
      </c>
      <c r="D11" s="17" t="s">
        <v>43</v>
      </c>
      <c r="E11" s="17" t="s">
        <v>44</v>
      </c>
      <c r="F11" s="20" t="s">
        <v>45</v>
      </c>
      <c r="G11" s="22" t="s">
        <v>46</v>
      </c>
    </row>
    <row r="12" spans="2:7" ht="15.75" hidden="1" thickBot="1" x14ac:dyDescent="0.3">
      <c r="B12" s="18">
        <v>0</v>
      </c>
      <c r="C12" s="19">
        <f>G6</f>
        <v>107.5</v>
      </c>
      <c r="D12" s="19">
        <f>SUM(G7:G8)</f>
        <v>3.04</v>
      </c>
      <c r="E12" s="19">
        <f>SUM(G9:G10)</f>
        <v>1.42</v>
      </c>
      <c r="F12" s="21">
        <v>0</v>
      </c>
      <c r="G12" s="23">
        <f>SUM(G6:G10)</f>
        <v>111.96000000000001</v>
      </c>
    </row>
    <row r="13" spans="2:7" hidden="1" x14ac:dyDescent="0.25"/>
    <row r="14" spans="2:7" ht="15.75" hidden="1" thickBot="1" x14ac:dyDescent="0.3"/>
    <row r="15" spans="2:7" ht="16.5" hidden="1" thickBot="1" x14ac:dyDescent="0.3">
      <c r="B15" s="383" t="s">
        <v>60</v>
      </c>
      <c r="C15" s="384"/>
      <c r="D15" s="384"/>
      <c r="E15" s="384"/>
      <c r="F15" s="384"/>
      <c r="G15" s="385"/>
    </row>
    <row r="16" spans="2:7" ht="61.5" hidden="1" customHeight="1" thickBot="1" x14ac:dyDescent="0.3">
      <c r="B16" s="380" t="s">
        <v>89</v>
      </c>
      <c r="C16" s="381"/>
      <c r="D16" s="381"/>
      <c r="E16" s="381"/>
      <c r="F16" s="381"/>
      <c r="G16" s="382"/>
    </row>
    <row r="17" spans="2:7" ht="15.75" hidden="1" thickBot="1" x14ac:dyDescent="0.3">
      <c r="B17" s="12" t="s">
        <v>34</v>
      </c>
      <c r="C17" s="13" t="s">
        <v>28</v>
      </c>
      <c r="D17" s="71" t="s">
        <v>29</v>
      </c>
      <c r="E17" s="71" t="s">
        <v>30</v>
      </c>
      <c r="F17" s="71" t="s">
        <v>31</v>
      </c>
      <c r="G17" s="72" t="s">
        <v>32</v>
      </c>
    </row>
    <row r="18" spans="2:7" ht="15.75" hidden="1" customHeight="1" x14ac:dyDescent="0.25">
      <c r="B18" s="10" t="s">
        <v>0</v>
      </c>
      <c r="C18" s="11" t="s">
        <v>90</v>
      </c>
      <c r="D18" s="70" t="s">
        <v>29</v>
      </c>
      <c r="E18" s="8">
        <v>1</v>
      </c>
      <c r="F18" s="8">
        <v>107.5</v>
      </c>
      <c r="G18" s="9">
        <v>302.57</v>
      </c>
    </row>
    <row r="19" spans="2:7" hidden="1" x14ac:dyDescent="0.25">
      <c r="B19" s="6" t="s">
        <v>83</v>
      </c>
      <c r="C19" s="5" t="s">
        <v>79</v>
      </c>
      <c r="D19" s="15" t="s">
        <v>87</v>
      </c>
      <c r="E19" s="1">
        <v>0.25</v>
      </c>
      <c r="F19" s="1">
        <v>4.05</v>
      </c>
      <c r="G19" s="9">
        <f>ROUND(E19*F19,2)</f>
        <v>1.01</v>
      </c>
    </row>
    <row r="20" spans="2:7" hidden="1" x14ac:dyDescent="0.25">
      <c r="B20" s="7" t="s">
        <v>84</v>
      </c>
      <c r="C20" s="5" t="s">
        <v>80</v>
      </c>
      <c r="D20" s="15" t="s">
        <v>87</v>
      </c>
      <c r="E20" s="1">
        <v>0.5</v>
      </c>
      <c r="F20" s="1">
        <v>4.05</v>
      </c>
      <c r="G20" s="9">
        <f>ROUND(E20*F20,2)</f>
        <v>2.0299999999999998</v>
      </c>
    </row>
    <row r="21" spans="2:7" hidden="1" x14ac:dyDescent="0.25">
      <c r="B21" s="6" t="s">
        <v>85</v>
      </c>
      <c r="C21" s="5" t="s">
        <v>81</v>
      </c>
      <c r="D21" s="15" t="s">
        <v>87</v>
      </c>
      <c r="E21" s="1">
        <v>0.5</v>
      </c>
      <c r="F21" s="1">
        <v>1.83</v>
      </c>
      <c r="G21" s="9">
        <f>ROUND(E21*F21,2)</f>
        <v>0.92</v>
      </c>
    </row>
    <row r="22" spans="2:7" ht="15.75" hidden="1" thickBot="1" x14ac:dyDescent="0.3">
      <c r="B22" s="6" t="s">
        <v>86</v>
      </c>
      <c r="C22" s="4" t="s">
        <v>82</v>
      </c>
      <c r="D22" s="15" t="s">
        <v>87</v>
      </c>
      <c r="E22" s="1">
        <v>0.25</v>
      </c>
      <c r="F22" s="1">
        <v>2.0099999999999998</v>
      </c>
      <c r="G22" s="9">
        <f>ROUND(E22*F22,2)</f>
        <v>0.5</v>
      </c>
    </row>
    <row r="23" spans="2:7" hidden="1" x14ac:dyDescent="0.25">
      <c r="B23" s="16" t="s">
        <v>41</v>
      </c>
      <c r="C23" s="24" t="s">
        <v>42</v>
      </c>
      <c r="D23" s="17" t="s">
        <v>43</v>
      </c>
      <c r="E23" s="17" t="s">
        <v>44</v>
      </c>
      <c r="F23" s="20" t="s">
        <v>45</v>
      </c>
      <c r="G23" s="22" t="s">
        <v>46</v>
      </c>
    </row>
    <row r="24" spans="2:7" ht="15.75" hidden="1" thickBot="1" x14ac:dyDescent="0.3">
      <c r="B24" s="18">
        <v>0</v>
      </c>
      <c r="C24" s="19">
        <f>G18</f>
        <v>302.57</v>
      </c>
      <c r="D24" s="19">
        <f>SUM(G19:G20)</f>
        <v>3.04</v>
      </c>
      <c r="E24" s="19">
        <f>SUM(G21:G22)</f>
        <v>1.42</v>
      </c>
      <c r="F24" s="21">
        <v>0</v>
      </c>
      <c r="G24" s="23">
        <f>SUM(G18:G22)</f>
        <v>307.02999999999997</v>
      </c>
    </row>
    <row r="25" spans="2:7" hidden="1" x14ac:dyDescent="0.25"/>
    <row r="30" spans="2:7" ht="15.75" thickBot="1" x14ac:dyDescent="0.3"/>
    <row r="31" spans="2:7" ht="16.5" thickBot="1" x14ac:dyDescent="0.3">
      <c r="B31" s="383" t="s">
        <v>60</v>
      </c>
      <c r="C31" s="384"/>
      <c r="D31" s="384"/>
      <c r="E31" s="384"/>
      <c r="F31" s="384"/>
      <c r="G31" s="385"/>
    </row>
    <row r="32" spans="2:7" ht="65.25" customHeight="1" thickBot="1" x14ac:dyDescent="0.3">
      <c r="B32" s="380" t="s">
        <v>175</v>
      </c>
      <c r="C32" s="381"/>
      <c r="D32" s="381"/>
      <c r="E32" s="381"/>
      <c r="F32" s="381"/>
      <c r="G32" s="382"/>
    </row>
    <row r="33" spans="2:8" ht="15.75" thickBot="1" x14ac:dyDescent="0.3">
      <c r="B33" s="12" t="s">
        <v>34</v>
      </c>
      <c r="C33" s="13" t="s">
        <v>28</v>
      </c>
      <c r="D33" s="71" t="s">
        <v>29</v>
      </c>
      <c r="E33" s="71" t="s">
        <v>30</v>
      </c>
      <c r="F33" s="71" t="s">
        <v>31</v>
      </c>
      <c r="G33" s="72" t="s">
        <v>32</v>
      </c>
    </row>
    <row r="34" spans="2:8" x14ac:dyDescent="0.25">
      <c r="B34" s="10" t="s">
        <v>190</v>
      </c>
      <c r="C34" s="11" t="s">
        <v>232</v>
      </c>
      <c r="D34" s="70" t="s">
        <v>29</v>
      </c>
      <c r="E34" s="61">
        <v>1</v>
      </c>
      <c r="F34" s="85">
        <v>9.08</v>
      </c>
      <c r="G34" s="86">
        <f>E34*F34</f>
        <v>9.08</v>
      </c>
      <c r="H34" s="1">
        <v>10.63</v>
      </c>
    </row>
    <row r="35" spans="2:8" x14ac:dyDescent="0.25">
      <c r="B35" s="7" t="s">
        <v>196</v>
      </c>
      <c r="C35" s="5" t="s">
        <v>221</v>
      </c>
      <c r="D35" s="15" t="s">
        <v>87</v>
      </c>
      <c r="E35" s="2">
        <v>1</v>
      </c>
      <c r="F35" s="85">
        <f>H35*0.97</f>
        <v>7.6435999999999993</v>
      </c>
      <c r="G35" s="86">
        <f>ROUND(E35*F35,2)</f>
        <v>7.64</v>
      </c>
      <c r="H35" s="1">
        <v>7.88</v>
      </c>
    </row>
    <row r="36" spans="2:8" x14ac:dyDescent="0.25">
      <c r="B36" s="93" t="s">
        <v>191</v>
      </c>
      <c r="C36" s="5" t="s">
        <v>193</v>
      </c>
      <c r="D36" s="15" t="s">
        <v>87</v>
      </c>
      <c r="E36" s="1">
        <v>0.1</v>
      </c>
      <c r="F36" s="61">
        <v>5.0599999999999996</v>
      </c>
      <c r="G36" s="9">
        <f>ROUND(E36*F36,2)</f>
        <v>0.51</v>
      </c>
      <c r="H36" s="1">
        <v>1.83</v>
      </c>
    </row>
    <row r="37" spans="2:8" ht="15.75" thickBot="1" x14ac:dyDescent="0.3">
      <c r="B37" s="92" t="s">
        <v>192</v>
      </c>
      <c r="C37" s="5" t="s">
        <v>194</v>
      </c>
      <c r="D37" s="15" t="s">
        <v>87</v>
      </c>
      <c r="E37" s="1">
        <v>1</v>
      </c>
      <c r="F37" s="61">
        <v>3.41</v>
      </c>
      <c r="G37" s="9">
        <f>ROUND(E37*F37,2)</f>
        <v>3.41</v>
      </c>
      <c r="H37" s="1">
        <v>1.78</v>
      </c>
    </row>
    <row r="38" spans="2:8" x14ac:dyDescent="0.25">
      <c r="B38" s="16" t="s">
        <v>41</v>
      </c>
      <c r="C38" s="24" t="s">
        <v>42</v>
      </c>
      <c r="D38" s="17" t="s">
        <v>43</v>
      </c>
      <c r="E38" s="17" t="s">
        <v>44</v>
      </c>
      <c r="F38" s="20" t="s">
        <v>45</v>
      </c>
      <c r="G38" s="22" t="s">
        <v>46</v>
      </c>
    </row>
    <row r="39" spans="2:8" ht="15.75" thickBot="1" x14ac:dyDescent="0.3">
      <c r="B39" s="18">
        <v>0</v>
      </c>
      <c r="C39" s="94">
        <f>G34</f>
        <v>9.08</v>
      </c>
      <c r="D39" s="94">
        <f>G35+G36+G37</f>
        <v>11.56</v>
      </c>
      <c r="E39" s="19">
        <f>SUM(G36:G37)</f>
        <v>3.92</v>
      </c>
      <c r="F39" s="21">
        <v>0</v>
      </c>
      <c r="G39" s="87">
        <f>SUM(G34:G37)+0.01</f>
        <v>20.650000000000002</v>
      </c>
    </row>
  </sheetData>
  <mergeCells count="6">
    <mergeCell ref="B32:G32"/>
    <mergeCell ref="B3:G3"/>
    <mergeCell ref="B4:G4"/>
    <mergeCell ref="B15:G15"/>
    <mergeCell ref="B16:G16"/>
    <mergeCell ref="B31:G31"/>
  </mergeCells>
  <pageMargins left="1.1811023622047245" right="0.78740157480314965" top="0.78740157480314965" bottom="0.78740157480314965" header="0" footer="0"/>
  <pageSetup paperSize="9" scale="75" orientation="portrait" verticalDpi="300"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38"/>
  <dimension ref="B2:H39"/>
  <sheetViews>
    <sheetView view="pageBreakPreview" zoomScaleNormal="100" zoomScaleSheetLayoutView="100" workbookViewId="0">
      <selection activeCell="B34" sqref="B34:G39"/>
    </sheetView>
  </sheetViews>
  <sheetFormatPr defaultRowHeight="15" x14ac:dyDescent="0.25"/>
  <cols>
    <col min="2" max="2" width="12.85546875" bestFit="1" customWidth="1"/>
    <col min="3" max="3" width="44.85546875" customWidth="1"/>
    <col min="4" max="4" width="12.7109375" bestFit="1" customWidth="1"/>
    <col min="5" max="5" width="10.140625" bestFit="1" customWidth="1"/>
    <col min="6" max="6" width="10.28515625" bestFit="1" customWidth="1"/>
    <col min="7" max="7" width="15.5703125" bestFit="1" customWidth="1"/>
    <col min="8" max="8" width="0" hidden="1" customWidth="1"/>
  </cols>
  <sheetData>
    <row r="2" spans="2:7" ht="15.75" hidden="1" thickBot="1" x14ac:dyDescent="0.3"/>
    <row r="3" spans="2:7" ht="16.5" hidden="1" thickBot="1" x14ac:dyDescent="0.3">
      <c r="B3" s="383" t="s">
        <v>60</v>
      </c>
      <c r="C3" s="384"/>
      <c r="D3" s="384"/>
      <c r="E3" s="384"/>
      <c r="F3" s="384"/>
      <c r="G3" s="385"/>
    </row>
    <row r="4" spans="2:7" ht="60" hidden="1" customHeight="1" thickBot="1" x14ac:dyDescent="0.3">
      <c r="B4" s="380" t="s">
        <v>78</v>
      </c>
      <c r="C4" s="381"/>
      <c r="D4" s="381"/>
      <c r="E4" s="381"/>
      <c r="F4" s="381"/>
      <c r="G4" s="382"/>
    </row>
    <row r="5" spans="2:7" ht="15.75" hidden="1" thickBot="1" x14ac:dyDescent="0.3">
      <c r="B5" s="12" t="s">
        <v>34</v>
      </c>
      <c r="C5" s="13" t="s">
        <v>28</v>
      </c>
      <c r="D5" s="71" t="s">
        <v>29</v>
      </c>
      <c r="E5" s="71" t="s">
        <v>30</v>
      </c>
      <c r="F5" s="71" t="s">
        <v>31</v>
      </c>
      <c r="G5" s="72" t="s">
        <v>32</v>
      </c>
    </row>
    <row r="6" spans="2:7" hidden="1" x14ac:dyDescent="0.25">
      <c r="B6" s="10" t="s">
        <v>0</v>
      </c>
      <c r="C6" s="11" t="s">
        <v>88</v>
      </c>
      <c r="D6" s="70" t="s">
        <v>29</v>
      </c>
      <c r="E6" s="8">
        <v>1</v>
      </c>
      <c r="F6" s="8">
        <v>107.5</v>
      </c>
      <c r="G6" s="9">
        <v>107.5</v>
      </c>
    </row>
    <row r="7" spans="2:7" hidden="1" x14ac:dyDescent="0.25">
      <c r="B7" s="6" t="s">
        <v>83</v>
      </c>
      <c r="C7" s="5" t="s">
        <v>79</v>
      </c>
      <c r="D7" s="15" t="s">
        <v>87</v>
      </c>
      <c r="E7" s="1">
        <v>0.25</v>
      </c>
      <c r="F7" s="1">
        <v>4.05</v>
      </c>
      <c r="G7" s="9">
        <f>ROUND(E7*F7,2)</f>
        <v>1.01</v>
      </c>
    </row>
    <row r="8" spans="2:7" hidden="1" x14ac:dyDescent="0.25">
      <c r="B8" s="7" t="s">
        <v>84</v>
      </c>
      <c r="C8" s="5" t="s">
        <v>80</v>
      </c>
      <c r="D8" s="15" t="s">
        <v>87</v>
      </c>
      <c r="E8" s="1">
        <v>0.5</v>
      </c>
      <c r="F8" s="1">
        <v>4.05</v>
      </c>
      <c r="G8" s="9">
        <f>ROUND(E8*F8,2)</f>
        <v>2.0299999999999998</v>
      </c>
    </row>
    <row r="9" spans="2:7" hidden="1" x14ac:dyDescent="0.25">
      <c r="B9" s="6" t="s">
        <v>85</v>
      </c>
      <c r="C9" s="5" t="s">
        <v>81</v>
      </c>
      <c r="D9" s="15" t="s">
        <v>87</v>
      </c>
      <c r="E9" s="1">
        <v>0.5</v>
      </c>
      <c r="F9" s="1">
        <v>1.83</v>
      </c>
      <c r="G9" s="9">
        <f>ROUND(E9*F9,2)</f>
        <v>0.92</v>
      </c>
    </row>
    <row r="10" spans="2:7" ht="15.75" hidden="1" thickBot="1" x14ac:dyDescent="0.3">
      <c r="B10" s="6" t="s">
        <v>86</v>
      </c>
      <c r="C10" s="4" t="s">
        <v>82</v>
      </c>
      <c r="D10" s="15" t="s">
        <v>87</v>
      </c>
      <c r="E10" s="1">
        <v>0.25</v>
      </c>
      <c r="F10" s="1">
        <v>2.0099999999999998</v>
      </c>
      <c r="G10" s="9">
        <f>ROUND(E10*F10,2)</f>
        <v>0.5</v>
      </c>
    </row>
    <row r="11" spans="2:7" hidden="1" x14ac:dyDescent="0.25">
      <c r="B11" s="16" t="s">
        <v>41</v>
      </c>
      <c r="C11" s="24" t="s">
        <v>42</v>
      </c>
      <c r="D11" s="17" t="s">
        <v>43</v>
      </c>
      <c r="E11" s="17" t="s">
        <v>44</v>
      </c>
      <c r="F11" s="20" t="s">
        <v>45</v>
      </c>
      <c r="G11" s="22" t="s">
        <v>46</v>
      </c>
    </row>
    <row r="12" spans="2:7" ht="15.75" hidden="1" thickBot="1" x14ac:dyDescent="0.3">
      <c r="B12" s="18">
        <v>0</v>
      </c>
      <c r="C12" s="19">
        <f>G6</f>
        <v>107.5</v>
      </c>
      <c r="D12" s="19">
        <f>SUM(G7:G8)</f>
        <v>3.04</v>
      </c>
      <c r="E12" s="19">
        <f>SUM(G9:G10)</f>
        <v>1.42</v>
      </c>
      <c r="F12" s="21">
        <v>0</v>
      </c>
      <c r="G12" s="23">
        <f>SUM(G6:G10)</f>
        <v>111.96000000000001</v>
      </c>
    </row>
    <row r="13" spans="2:7" hidden="1" x14ac:dyDescent="0.25"/>
    <row r="14" spans="2:7" ht="15.75" hidden="1" thickBot="1" x14ac:dyDescent="0.3"/>
    <row r="15" spans="2:7" ht="16.5" hidden="1" thickBot="1" x14ac:dyDescent="0.3">
      <c r="B15" s="383" t="s">
        <v>60</v>
      </c>
      <c r="C15" s="384"/>
      <c r="D15" s="384"/>
      <c r="E15" s="384"/>
      <c r="F15" s="384"/>
      <c r="G15" s="385"/>
    </row>
    <row r="16" spans="2:7" ht="61.5" hidden="1" customHeight="1" thickBot="1" x14ac:dyDescent="0.3">
      <c r="B16" s="380" t="s">
        <v>89</v>
      </c>
      <c r="C16" s="381"/>
      <c r="D16" s="381"/>
      <c r="E16" s="381"/>
      <c r="F16" s="381"/>
      <c r="G16" s="382"/>
    </row>
    <row r="17" spans="2:7" ht="15.75" hidden="1" thickBot="1" x14ac:dyDescent="0.3">
      <c r="B17" s="12" t="s">
        <v>34</v>
      </c>
      <c r="C17" s="13" t="s">
        <v>28</v>
      </c>
      <c r="D17" s="71" t="s">
        <v>29</v>
      </c>
      <c r="E17" s="71" t="s">
        <v>30</v>
      </c>
      <c r="F17" s="71" t="s">
        <v>31</v>
      </c>
      <c r="G17" s="72" t="s">
        <v>32</v>
      </c>
    </row>
    <row r="18" spans="2:7" ht="15.75" hidden="1" customHeight="1" x14ac:dyDescent="0.25">
      <c r="B18" s="10" t="s">
        <v>0</v>
      </c>
      <c r="C18" s="11" t="s">
        <v>90</v>
      </c>
      <c r="D18" s="70" t="s">
        <v>29</v>
      </c>
      <c r="E18" s="8">
        <v>1</v>
      </c>
      <c r="F18" s="8">
        <v>107.5</v>
      </c>
      <c r="G18" s="9">
        <v>302.57</v>
      </c>
    </row>
    <row r="19" spans="2:7" hidden="1" x14ac:dyDescent="0.25">
      <c r="B19" s="6" t="s">
        <v>83</v>
      </c>
      <c r="C19" s="5" t="s">
        <v>79</v>
      </c>
      <c r="D19" s="15" t="s">
        <v>87</v>
      </c>
      <c r="E19" s="1">
        <v>0.25</v>
      </c>
      <c r="F19" s="1">
        <v>4.05</v>
      </c>
      <c r="G19" s="9">
        <f>ROUND(E19*F19,2)</f>
        <v>1.01</v>
      </c>
    </row>
    <row r="20" spans="2:7" hidden="1" x14ac:dyDescent="0.25">
      <c r="B20" s="7" t="s">
        <v>84</v>
      </c>
      <c r="C20" s="5" t="s">
        <v>80</v>
      </c>
      <c r="D20" s="15" t="s">
        <v>87</v>
      </c>
      <c r="E20" s="1">
        <v>0.5</v>
      </c>
      <c r="F20" s="1">
        <v>4.05</v>
      </c>
      <c r="G20" s="9">
        <f>ROUND(E20*F20,2)</f>
        <v>2.0299999999999998</v>
      </c>
    </row>
    <row r="21" spans="2:7" hidden="1" x14ac:dyDescent="0.25">
      <c r="B21" s="6" t="s">
        <v>85</v>
      </c>
      <c r="C21" s="5" t="s">
        <v>81</v>
      </c>
      <c r="D21" s="15" t="s">
        <v>87</v>
      </c>
      <c r="E21" s="1">
        <v>0.5</v>
      </c>
      <c r="F21" s="1">
        <v>1.83</v>
      </c>
      <c r="G21" s="9">
        <f>ROUND(E21*F21,2)</f>
        <v>0.92</v>
      </c>
    </row>
    <row r="22" spans="2:7" ht="15.75" hidden="1" thickBot="1" x14ac:dyDescent="0.3">
      <c r="B22" s="6" t="s">
        <v>86</v>
      </c>
      <c r="C22" s="4" t="s">
        <v>82</v>
      </c>
      <c r="D22" s="15" t="s">
        <v>87</v>
      </c>
      <c r="E22" s="1">
        <v>0.25</v>
      </c>
      <c r="F22" s="1">
        <v>2.0099999999999998</v>
      </c>
      <c r="G22" s="9">
        <f>ROUND(E22*F22,2)</f>
        <v>0.5</v>
      </c>
    </row>
    <row r="23" spans="2:7" hidden="1" x14ac:dyDescent="0.25">
      <c r="B23" s="16" t="s">
        <v>41</v>
      </c>
      <c r="C23" s="24" t="s">
        <v>42</v>
      </c>
      <c r="D23" s="17" t="s">
        <v>43</v>
      </c>
      <c r="E23" s="17" t="s">
        <v>44</v>
      </c>
      <c r="F23" s="20" t="s">
        <v>45</v>
      </c>
      <c r="G23" s="22" t="s">
        <v>46</v>
      </c>
    </row>
    <row r="24" spans="2:7" ht="15.75" hidden="1" thickBot="1" x14ac:dyDescent="0.3">
      <c r="B24" s="18">
        <v>0</v>
      </c>
      <c r="C24" s="19">
        <f>G18</f>
        <v>302.57</v>
      </c>
      <c r="D24" s="19">
        <f>SUM(G19:G20)</f>
        <v>3.04</v>
      </c>
      <c r="E24" s="19">
        <f>SUM(G21:G22)</f>
        <v>1.42</v>
      </c>
      <c r="F24" s="21">
        <v>0</v>
      </c>
      <c r="G24" s="23">
        <f>SUM(G18:G22)</f>
        <v>307.02999999999997</v>
      </c>
    </row>
    <row r="25" spans="2:7" hidden="1" x14ac:dyDescent="0.25"/>
    <row r="26" spans="2:7" hidden="1" x14ac:dyDescent="0.25"/>
    <row r="30" spans="2:7" ht="15.75" thickBot="1" x14ac:dyDescent="0.3"/>
    <row r="31" spans="2:7" ht="16.5" thickBot="1" x14ac:dyDescent="0.3">
      <c r="B31" s="383" t="s">
        <v>60</v>
      </c>
      <c r="C31" s="384"/>
      <c r="D31" s="384"/>
      <c r="E31" s="384"/>
      <c r="F31" s="384"/>
      <c r="G31" s="385"/>
    </row>
    <row r="32" spans="2:7" ht="65.25" customHeight="1" thickBot="1" x14ac:dyDescent="0.3">
      <c r="B32" s="380" t="s">
        <v>176</v>
      </c>
      <c r="C32" s="381"/>
      <c r="D32" s="381"/>
      <c r="E32" s="381"/>
      <c r="F32" s="381"/>
      <c r="G32" s="382"/>
    </row>
    <row r="33" spans="2:8" ht="15.75" thickBot="1" x14ac:dyDescent="0.3">
      <c r="B33" s="12" t="s">
        <v>34</v>
      </c>
      <c r="C33" s="13" t="s">
        <v>28</v>
      </c>
      <c r="D33" s="71" t="s">
        <v>29</v>
      </c>
      <c r="E33" s="71" t="s">
        <v>30</v>
      </c>
      <c r="F33" s="71" t="s">
        <v>31</v>
      </c>
      <c r="G33" s="72" t="s">
        <v>32</v>
      </c>
    </row>
    <row r="34" spans="2:8" x14ac:dyDescent="0.25">
      <c r="B34" s="10" t="s">
        <v>190</v>
      </c>
      <c r="C34" s="11" t="s">
        <v>233</v>
      </c>
      <c r="D34" s="70" t="s">
        <v>234</v>
      </c>
      <c r="E34" s="61">
        <v>1</v>
      </c>
      <c r="F34" s="85">
        <v>1.33</v>
      </c>
      <c r="G34" s="86">
        <f>E34*F34</f>
        <v>1.33</v>
      </c>
      <c r="H34" s="1">
        <v>10.63</v>
      </c>
    </row>
    <row r="35" spans="2:8" x14ac:dyDescent="0.25">
      <c r="B35" s="7" t="s">
        <v>196</v>
      </c>
      <c r="C35" s="5" t="s">
        <v>221</v>
      </c>
      <c r="D35" s="15" t="s">
        <v>87</v>
      </c>
      <c r="E35" s="2">
        <v>0.05</v>
      </c>
      <c r="F35" s="85">
        <f>H35*0.97</f>
        <v>7.6435999999999993</v>
      </c>
      <c r="G35" s="86">
        <f>ROUND(E35*F35,2)</f>
        <v>0.38</v>
      </c>
      <c r="H35" s="1">
        <v>7.88</v>
      </c>
    </row>
    <row r="36" spans="2:8" x14ac:dyDescent="0.25">
      <c r="B36" s="93" t="s">
        <v>191</v>
      </c>
      <c r="C36" s="5" t="s">
        <v>193</v>
      </c>
      <c r="D36" s="15" t="s">
        <v>87</v>
      </c>
      <c r="E36" s="1">
        <v>0.05</v>
      </c>
      <c r="F36" s="61">
        <v>5.0599999999999996</v>
      </c>
      <c r="G36" s="9">
        <f>ROUND(E36*F36,2)</f>
        <v>0.25</v>
      </c>
      <c r="H36" s="1">
        <v>1.83</v>
      </c>
    </row>
    <row r="37" spans="2:8" ht="15.75" thickBot="1" x14ac:dyDescent="0.3">
      <c r="B37" s="92" t="s">
        <v>192</v>
      </c>
      <c r="C37" s="5" t="s">
        <v>194</v>
      </c>
      <c r="D37" s="15" t="s">
        <v>87</v>
      </c>
      <c r="E37" s="1">
        <v>0.05</v>
      </c>
      <c r="F37" s="61">
        <v>3.41</v>
      </c>
      <c r="G37" s="9">
        <f>ROUND(E37*F37,2)</f>
        <v>0.17</v>
      </c>
      <c r="H37" s="1">
        <v>1.78</v>
      </c>
    </row>
    <row r="38" spans="2:8" x14ac:dyDescent="0.25">
      <c r="B38" s="16" t="s">
        <v>41</v>
      </c>
      <c r="C38" s="24" t="s">
        <v>42</v>
      </c>
      <c r="D38" s="17" t="s">
        <v>43</v>
      </c>
      <c r="E38" s="17" t="s">
        <v>44</v>
      </c>
      <c r="F38" s="20" t="s">
        <v>45</v>
      </c>
      <c r="G38" s="22" t="s">
        <v>46</v>
      </c>
    </row>
    <row r="39" spans="2:8" ht="15.75" thickBot="1" x14ac:dyDescent="0.3">
      <c r="B39" s="18">
        <v>0</v>
      </c>
      <c r="C39" s="94">
        <f>G34</f>
        <v>1.33</v>
      </c>
      <c r="D39" s="94">
        <f>G35+G36+G37</f>
        <v>0.8</v>
      </c>
      <c r="E39" s="19">
        <f>SUM(G36:G37)</f>
        <v>0.42000000000000004</v>
      </c>
      <c r="F39" s="21">
        <v>0</v>
      </c>
      <c r="G39" s="87">
        <f>SUM(G34:G37)+0.01</f>
        <v>2.1399999999999997</v>
      </c>
    </row>
  </sheetData>
  <mergeCells count="6">
    <mergeCell ref="B32:G32"/>
    <mergeCell ref="B3:G3"/>
    <mergeCell ref="B4:G4"/>
    <mergeCell ref="B15:G15"/>
    <mergeCell ref="B16:G16"/>
    <mergeCell ref="B31:G31"/>
  </mergeCells>
  <pageMargins left="1.1811023622047245" right="0.78740157480314965" top="0.78740157480314965" bottom="0.78740157480314965" header="0" footer="0"/>
  <pageSetup paperSize="9" scale="75" orientation="portrait"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3"/>
  <dimension ref="B3:I20"/>
  <sheetViews>
    <sheetView view="pageBreakPreview" topLeftCell="A2" zoomScale="80" zoomScaleNormal="100" zoomScaleSheetLayoutView="80" workbookViewId="0">
      <selection activeCell="C14" sqref="C14"/>
    </sheetView>
  </sheetViews>
  <sheetFormatPr defaultRowHeight="15" x14ac:dyDescent="0.25"/>
  <cols>
    <col min="2" max="2" width="13.7109375" customWidth="1"/>
    <col min="3" max="3" width="45.7109375" customWidth="1"/>
    <col min="4" max="4" width="17.7109375" bestFit="1" customWidth="1"/>
    <col min="5" max="5" width="15.5703125" bestFit="1" customWidth="1"/>
    <col min="6" max="6" width="13.7109375" bestFit="1" customWidth="1"/>
    <col min="7" max="7" width="15.5703125" bestFit="1" customWidth="1"/>
    <col min="9" max="9" width="0" hidden="1" customWidth="1"/>
  </cols>
  <sheetData>
    <row r="3" spans="2:9" ht="15.75" thickBot="1" x14ac:dyDescent="0.3"/>
    <row r="4" spans="2:9" ht="16.5" thickBot="1" x14ac:dyDescent="0.3">
      <c r="B4" s="383" t="s">
        <v>60</v>
      </c>
      <c r="C4" s="384"/>
      <c r="D4" s="384"/>
      <c r="E4" s="384"/>
      <c r="F4" s="384"/>
      <c r="G4" s="385"/>
    </row>
    <row r="5" spans="2:9" ht="47.25" customHeight="1" thickBot="1" x14ac:dyDescent="0.3">
      <c r="B5" s="380" t="s">
        <v>61</v>
      </c>
      <c r="C5" s="381"/>
      <c r="D5" s="381"/>
      <c r="E5" s="381"/>
      <c r="F5" s="381"/>
      <c r="G5" s="382"/>
    </row>
    <row r="6" spans="2:9" ht="15.75" thickBot="1" x14ac:dyDescent="0.3">
      <c r="B6" s="12" t="s">
        <v>34</v>
      </c>
      <c r="C6" s="13" t="s">
        <v>28</v>
      </c>
      <c r="D6" s="13" t="s">
        <v>29</v>
      </c>
      <c r="E6" s="13" t="s">
        <v>30</v>
      </c>
      <c r="F6" s="13" t="s">
        <v>31</v>
      </c>
      <c r="G6" s="14" t="s">
        <v>32</v>
      </c>
    </row>
    <row r="7" spans="2:9" ht="39" customHeight="1" x14ac:dyDescent="0.25">
      <c r="B7" s="10" t="s">
        <v>33</v>
      </c>
      <c r="C7" s="11" t="s">
        <v>51</v>
      </c>
      <c r="D7" s="8" t="s">
        <v>29</v>
      </c>
      <c r="E7" s="8">
        <v>1</v>
      </c>
      <c r="F7" s="85">
        <f t="shared" ref="F7:F12" si="0">I7*0.97</f>
        <v>115.333</v>
      </c>
      <c r="G7" s="86">
        <f t="shared" ref="G7:G12" si="1">E7*F7</f>
        <v>115.333</v>
      </c>
      <c r="I7" s="8">
        <v>118.9</v>
      </c>
    </row>
    <row r="8" spans="2:9" ht="36" customHeight="1" x14ac:dyDescent="0.25">
      <c r="B8" s="6" t="s">
        <v>35</v>
      </c>
      <c r="C8" s="5" t="s">
        <v>36</v>
      </c>
      <c r="D8" s="1" t="s">
        <v>29</v>
      </c>
      <c r="E8" s="1">
        <v>1</v>
      </c>
      <c r="F8" s="78">
        <f t="shared" si="0"/>
        <v>52.234499999999997</v>
      </c>
      <c r="G8" s="29">
        <f t="shared" si="1"/>
        <v>52.234499999999997</v>
      </c>
      <c r="I8" s="1">
        <v>53.85</v>
      </c>
    </row>
    <row r="9" spans="2:9" ht="33" x14ac:dyDescent="0.25">
      <c r="B9" s="7" t="s">
        <v>37</v>
      </c>
      <c r="C9" s="5" t="s">
        <v>38</v>
      </c>
      <c r="D9" s="1" t="s">
        <v>29</v>
      </c>
      <c r="E9" s="1">
        <v>2</v>
      </c>
      <c r="F9" s="78">
        <f t="shared" si="0"/>
        <v>22.9114</v>
      </c>
      <c r="G9" s="29">
        <f t="shared" si="1"/>
        <v>45.822800000000001</v>
      </c>
      <c r="I9" s="1">
        <v>23.62</v>
      </c>
    </row>
    <row r="10" spans="2:9" ht="43.5" x14ac:dyDescent="0.25">
      <c r="B10" s="6" t="s">
        <v>40</v>
      </c>
      <c r="C10" s="5" t="s">
        <v>39</v>
      </c>
      <c r="D10" s="1" t="s">
        <v>29</v>
      </c>
      <c r="E10" s="1">
        <v>1</v>
      </c>
      <c r="F10" s="78">
        <f t="shared" si="0"/>
        <v>74.098299999999995</v>
      </c>
      <c r="G10" s="29">
        <f t="shared" si="1"/>
        <v>74.098299999999995</v>
      </c>
      <c r="I10" s="1">
        <v>76.39</v>
      </c>
    </row>
    <row r="11" spans="2:9" x14ac:dyDescent="0.25">
      <c r="B11" s="6" t="s">
        <v>47</v>
      </c>
      <c r="C11" s="4" t="s">
        <v>48</v>
      </c>
      <c r="D11" s="1" t="s">
        <v>29</v>
      </c>
      <c r="E11" s="1">
        <v>1</v>
      </c>
      <c r="F11" s="78">
        <f t="shared" si="0"/>
        <v>365.24380000000002</v>
      </c>
      <c r="G11" s="29">
        <f t="shared" si="1"/>
        <v>365.24380000000002</v>
      </c>
      <c r="I11" s="1">
        <v>376.54</v>
      </c>
    </row>
    <row r="12" spans="2:9" ht="39.75" customHeight="1" thickBot="1" x14ac:dyDescent="0.3">
      <c r="B12" s="10" t="s">
        <v>50</v>
      </c>
      <c r="C12" s="11" t="s">
        <v>49</v>
      </c>
      <c r="D12" s="8" t="s">
        <v>26</v>
      </c>
      <c r="E12" s="8">
        <v>3.78</v>
      </c>
      <c r="F12" s="85">
        <f t="shared" si="0"/>
        <v>33.464999999999996</v>
      </c>
      <c r="G12" s="86">
        <f t="shared" si="1"/>
        <v>126.49769999999998</v>
      </c>
      <c r="I12" s="8">
        <v>34.5</v>
      </c>
    </row>
    <row r="13" spans="2:9" x14ac:dyDescent="0.25">
      <c r="B13" s="16" t="s">
        <v>41</v>
      </c>
      <c r="C13" s="24" t="s">
        <v>42</v>
      </c>
      <c r="D13" s="17" t="s">
        <v>43</v>
      </c>
      <c r="E13" s="17" t="s">
        <v>44</v>
      </c>
      <c r="F13" s="20" t="s">
        <v>45</v>
      </c>
      <c r="G13" s="22" t="s">
        <v>46</v>
      </c>
    </row>
    <row r="14" spans="2:9" ht="15.75" thickBot="1" x14ac:dyDescent="0.3">
      <c r="B14" s="18">
        <v>0</v>
      </c>
      <c r="C14" s="94">
        <f>G14-D14</f>
        <v>625.17010000000005</v>
      </c>
      <c r="D14" s="19">
        <v>154.06</v>
      </c>
      <c r="E14" s="19">
        <v>0</v>
      </c>
      <c r="F14" s="21">
        <v>0</v>
      </c>
      <c r="G14" s="87">
        <f>SUM(G7:G12)</f>
        <v>779.23010000000011</v>
      </c>
    </row>
    <row r="20" spans="3:3" hidden="1" x14ac:dyDescent="0.25">
      <c r="C20">
        <f>C14+D14</f>
        <v>779.23009999999999</v>
      </c>
    </row>
  </sheetData>
  <mergeCells count="2">
    <mergeCell ref="B5:G5"/>
    <mergeCell ref="B4:G4"/>
  </mergeCells>
  <pageMargins left="1.1811023622047245" right="0.78740157480314965" top="0.78740157480314965" bottom="0.78740157480314965" header="0" footer="0"/>
  <pageSetup paperSize="9" scale="66" orientation="portrait" verticalDpi="300"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39"/>
  <dimension ref="B2:H39"/>
  <sheetViews>
    <sheetView view="pageBreakPreview" zoomScaleNormal="100" zoomScaleSheetLayoutView="100" workbookViewId="0">
      <selection activeCell="B34" sqref="B34:G39"/>
    </sheetView>
  </sheetViews>
  <sheetFormatPr defaultRowHeight="15" x14ac:dyDescent="0.25"/>
  <cols>
    <col min="2" max="2" width="12.85546875" bestFit="1" customWidth="1"/>
    <col min="3" max="3" width="44.85546875" customWidth="1"/>
    <col min="4" max="4" width="12.7109375" bestFit="1" customWidth="1"/>
    <col min="5" max="5" width="10.140625" bestFit="1" customWidth="1"/>
    <col min="6" max="6" width="10.28515625" bestFit="1" customWidth="1"/>
    <col min="7" max="7" width="15.5703125" bestFit="1" customWidth="1"/>
    <col min="8" max="8" width="0" hidden="1" customWidth="1"/>
  </cols>
  <sheetData>
    <row r="2" spans="2:7" ht="15.75" hidden="1" thickBot="1" x14ac:dyDescent="0.3"/>
    <row r="3" spans="2:7" ht="16.5" hidden="1" thickBot="1" x14ac:dyDescent="0.3">
      <c r="B3" s="383" t="s">
        <v>60</v>
      </c>
      <c r="C3" s="384"/>
      <c r="D3" s="384"/>
      <c r="E3" s="384"/>
      <c r="F3" s="384"/>
      <c r="G3" s="385"/>
    </row>
    <row r="4" spans="2:7" ht="60" hidden="1" customHeight="1" thickBot="1" x14ac:dyDescent="0.3">
      <c r="B4" s="380" t="s">
        <v>78</v>
      </c>
      <c r="C4" s="381"/>
      <c r="D4" s="381"/>
      <c r="E4" s="381"/>
      <c r="F4" s="381"/>
      <c r="G4" s="382"/>
    </row>
    <row r="5" spans="2:7" ht="15.75" hidden="1" thickBot="1" x14ac:dyDescent="0.3">
      <c r="B5" s="12" t="s">
        <v>34</v>
      </c>
      <c r="C5" s="13" t="s">
        <v>28</v>
      </c>
      <c r="D5" s="71" t="s">
        <v>29</v>
      </c>
      <c r="E5" s="71" t="s">
        <v>30</v>
      </c>
      <c r="F5" s="71" t="s">
        <v>31</v>
      </c>
      <c r="G5" s="72" t="s">
        <v>32</v>
      </c>
    </row>
    <row r="6" spans="2:7" hidden="1" x14ac:dyDescent="0.25">
      <c r="B6" s="10" t="s">
        <v>0</v>
      </c>
      <c r="C6" s="11" t="s">
        <v>88</v>
      </c>
      <c r="D6" s="70" t="s">
        <v>29</v>
      </c>
      <c r="E6" s="8">
        <v>1</v>
      </c>
      <c r="F6" s="8">
        <v>107.5</v>
      </c>
      <c r="G6" s="9">
        <v>107.5</v>
      </c>
    </row>
    <row r="7" spans="2:7" hidden="1" x14ac:dyDescent="0.25">
      <c r="B7" s="6" t="s">
        <v>83</v>
      </c>
      <c r="C7" s="5" t="s">
        <v>79</v>
      </c>
      <c r="D7" s="15" t="s">
        <v>87</v>
      </c>
      <c r="E7" s="1">
        <v>0.25</v>
      </c>
      <c r="F7" s="1">
        <v>4.05</v>
      </c>
      <c r="G7" s="9">
        <f>ROUND(E7*F7,2)</f>
        <v>1.01</v>
      </c>
    </row>
    <row r="8" spans="2:7" hidden="1" x14ac:dyDescent="0.25">
      <c r="B8" s="7" t="s">
        <v>84</v>
      </c>
      <c r="C8" s="5" t="s">
        <v>80</v>
      </c>
      <c r="D8" s="15" t="s">
        <v>87</v>
      </c>
      <c r="E8" s="1">
        <v>0.5</v>
      </c>
      <c r="F8" s="1">
        <v>4.05</v>
      </c>
      <c r="G8" s="9">
        <f>ROUND(E8*F8,2)</f>
        <v>2.0299999999999998</v>
      </c>
    </row>
    <row r="9" spans="2:7" hidden="1" x14ac:dyDescent="0.25">
      <c r="B9" s="6" t="s">
        <v>85</v>
      </c>
      <c r="C9" s="5" t="s">
        <v>81</v>
      </c>
      <c r="D9" s="15" t="s">
        <v>87</v>
      </c>
      <c r="E9" s="1">
        <v>0.5</v>
      </c>
      <c r="F9" s="1">
        <v>1.83</v>
      </c>
      <c r="G9" s="9">
        <f>ROUND(E9*F9,2)</f>
        <v>0.92</v>
      </c>
    </row>
    <row r="10" spans="2:7" ht="15.75" hidden="1" thickBot="1" x14ac:dyDescent="0.3">
      <c r="B10" s="6" t="s">
        <v>86</v>
      </c>
      <c r="C10" s="4" t="s">
        <v>82</v>
      </c>
      <c r="D10" s="15" t="s">
        <v>87</v>
      </c>
      <c r="E10" s="1">
        <v>0.25</v>
      </c>
      <c r="F10" s="1">
        <v>2.0099999999999998</v>
      </c>
      <c r="G10" s="9">
        <f>ROUND(E10*F10,2)</f>
        <v>0.5</v>
      </c>
    </row>
    <row r="11" spans="2:7" hidden="1" x14ac:dyDescent="0.25">
      <c r="B11" s="16" t="s">
        <v>41</v>
      </c>
      <c r="C11" s="24" t="s">
        <v>42</v>
      </c>
      <c r="D11" s="17" t="s">
        <v>43</v>
      </c>
      <c r="E11" s="17" t="s">
        <v>44</v>
      </c>
      <c r="F11" s="20" t="s">
        <v>45</v>
      </c>
      <c r="G11" s="22" t="s">
        <v>46</v>
      </c>
    </row>
    <row r="12" spans="2:7" ht="15.75" hidden="1" thickBot="1" x14ac:dyDescent="0.3">
      <c r="B12" s="18">
        <v>0</v>
      </c>
      <c r="C12" s="19">
        <f>G6</f>
        <v>107.5</v>
      </c>
      <c r="D12" s="19">
        <f>SUM(G7:G8)</f>
        <v>3.04</v>
      </c>
      <c r="E12" s="19">
        <f>SUM(G9:G10)</f>
        <v>1.42</v>
      </c>
      <c r="F12" s="21">
        <v>0</v>
      </c>
      <c r="G12" s="23">
        <f>SUM(G6:G10)</f>
        <v>111.96000000000001</v>
      </c>
    </row>
    <row r="13" spans="2:7" hidden="1" x14ac:dyDescent="0.25"/>
    <row r="14" spans="2:7" ht="15.75" hidden="1" thickBot="1" x14ac:dyDescent="0.3"/>
    <row r="15" spans="2:7" ht="16.5" hidden="1" thickBot="1" x14ac:dyDescent="0.3">
      <c r="B15" s="383" t="s">
        <v>60</v>
      </c>
      <c r="C15" s="384"/>
      <c r="D15" s="384"/>
      <c r="E15" s="384"/>
      <c r="F15" s="384"/>
      <c r="G15" s="385"/>
    </row>
    <row r="16" spans="2:7" ht="61.5" hidden="1" customHeight="1" thickBot="1" x14ac:dyDescent="0.3">
      <c r="B16" s="380" t="s">
        <v>89</v>
      </c>
      <c r="C16" s="381"/>
      <c r="D16" s="381"/>
      <c r="E16" s="381"/>
      <c r="F16" s="381"/>
      <c r="G16" s="382"/>
    </row>
    <row r="17" spans="2:7" ht="15.75" hidden="1" thickBot="1" x14ac:dyDescent="0.3">
      <c r="B17" s="12" t="s">
        <v>34</v>
      </c>
      <c r="C17" s="13" t="s">
        <v>28</v>
      </c>
      <c r="D17" s="71" t="s">
        <v>29</v>
      </c>
      <c r="E17" s="71" t="s">
        <v>30</v>
      </c>
      <c r="F17" s="71" t="s">
        <v>31</v>
      </c>
      <c r="G17" s="72" t="s">
        <v>32</v>
      </c>
    </row>
    <row r="18" spans="2:7" ht="15.75" hidden="1" customHeight="1" x14ac:dyDescent="0.25">
      <c r="B18" s="10" t="s">
        <v>0</v>
      </c>
      <c r="C18" s="11" t="s">
        <v>90</v>
      </c>
      <c r="D18" s="70" t="s">
        <v>29</v>
      </c>
      <c r="E18" s="8">
        <v>1</v>
      </c>
      <c r="F18" s="8">
        <v>107.5</v>
      </c>
      <c r="G18" s="9">
        <v>302.57</v>
      </c>
    </row>
    <row r="19" spans="2:7" hidden="1" x14ac:dyDescent="0.25">
      <c r="B19" s="6" t="s">
        <v>83</v>
      </c>
      <c r="C19" s="5" t="s">
        <v>79</v>
      </c>
      <c r="D19" s="15" t="s">
        <v>87</v>
      </c>
      <c r="E19" s="1">
        <v>0.25</v>
      </c>
      <c r="F19" s="1">
        <v>4.05</v>
      </c>
      <c r="G19" s="9">
        <f>ROUND(E19*F19,2)</f>
        <v>1.01</v>
      </c>
    </row>
    <row r="20" spans="2:7" hidden="1" x14ac:dyDescent="0.25">
      <c r="B20" s="7" t="s">
        <v>84</v>
      </c>
      <c r="C20" s="5" t="s">
        <v>80</v>
      </c>
      <c r="D20" s="15" t="s">
        <v>87</v>
      </c>
      <c r="E20" s="1">
        <v>0.5</v>
      </c>
      <c r="F20" s="1">
        <v>4.05</v>
      </c>
      <c r="G20" s="9">
        <f>ROUND(E20*F20,2)</f>
        <v>2.0299999999999998</v>
      </c>
    </row>
    <row r="21" spans="2:7" hidden="1" x14ac:dyDescent="0.25">
      <c r="B21" s="6" t="s">
        <v>85</v>
      </c>
      <c r="C21" s="5" t="s">
        <v>81</v>
      </c>
      <c r="D21" s="15" t="s">
        <v>87</v>
      </c>
      <c r="E21" s="1">
        <v>0.5</v>
      </c>
      <c r="F21" s="1">
        <v>1.83</v>
      </c>
      <c r="G21" s="9">
        <f>ROUND(E21*F21,2)</f>
        <v>0.92</v>
      </c>
    </row>
    <row r="22" spans="2:7" ht="15.75" hidden="1" thickBot="1" x14ac:dyDescent="0.3">
      <c r="B22" s="6" t="s">
        <v>86</v>
      </c>
      <c r="C22" s="4" t="s">
        <v>82</v>
      </c>
      <c r="D22" s="15" t="s">
        <v>87</v>
      </c>
      <c r="E22" s="1">
        <v>0.25</v>
      </c>
      <c r="F22" s="1">
        <v>2.0099999999999998</v>
      </c>
      <c r="G22" s="9">
        <f>ROUND(E22*F22,2)</f>
        <v>0.5</v>
      </c>
    </row>
    <row r="23" spans="2:7" hidden="1" x14ac:dyDescent="0.25">
      <c r="B23" s="16" t="s">
        <v>41</v>
      </c>
      <c r="C23" s="24" t="s">
        <v>42</v>
      </c>
      <c r="D23" s="17" t="s">
        <v>43</v>
      </c>
      <c r="E23" s="17" t="s">
        <v>44</v>
      </c>
      <c r="F23" s="20" t="s">
        <v>45</v>
      </c>
      <c r="G23" s="22" t="s">
        <v>46</v>
      </c>
    </row>
    <row r="24" spans="2:7" ht="15.75" hidden="1" thickBot="1" x14ac:dyDescent="0.3">
      <c r="B24" s="18">
        <v>0</v>
      </c>
      <c r="C24" s="19">
        <f>G18</f>
        <v>302.57</v>
      </c>
      <c r="D24" s="19">
        <f>SUM(G19:G20)</f>
        <v>3.04</v>
      </c>
      <c r="E24" s="19">
        <f>SUM(G21:G22)</f>
        <v>1.42</v>
      </c>
      <c r="F24" s="21">
        <v>0</v>
      </c>
      <c r="G24" s="23">
        <f>SUM(G18:G22)</f>
        <v>307.02999999999997</v>
      </c>
    </row>
    <row r="25" spans="2:7" hidden="1" x14ac:dyDescent="0.25"/>
    <row r="26" spans="2:7" hidden="1" x14ac:dyDescent="0.25"/>
    <row r="30" spans="2:7" ht="15.75" thickBot="1" x14ac:dyDescent="0.3"/>
    <row r="31" spans="2:7" ht="16.5" thickBot="1" x14ac:dyDescent="0.3">
      <c r="B31" s="383" t="s">
        <v>60</v>
      </c>
      <c r="C31" s="384"/>
      <c r="D31" s="384"/>
      <c r="E31" s="384"/>
      <c r="F31" s="384"/>
      <c r="G31" s="385"/>
    </row>
    <row r="32" spans="2:7" ht="65.25" customHeight="1" thickBot="1" x14ac:dyDescent="0.3">
      <c r="B32" s="380" t="s">
        <v>177</v>
      </c>
      <c r="C32" s="381"/>
      <c r="D32" s="381"/>
      <c r="E32" s="381"/>
      <c r="F32" s="381"/>
      <c r="G32" s="382"/>
    </row>
    <row r="33" spans="2:8" ht="15.75" thickBot="1" x14ac:dyDescent="0.3">
      <c r="B33" s="12" t="s">
        <v>34</v>
      </c>
      <c r="C33" s="13" t="s">
        <v>28</v>
      </c>
      <c r="D33" s="71" t="s">
        <v>29</v>
      </c>
      <c r="E33" s="71" t="s">
        <v>30</v>
      </c>
      <c r="F33" s="71" t="s">
        <v>31</v>
      </c>
      <c r="G33" s="72" t="s">
        <v>32</v>
      </c>
    </row>
    <row r="34" spans="2:8" x14ac:dyDescent="0.25">
      <c r="B34" s="10" t="s">
        <v>190</v>
      </c>
      <c r="C34" s="11" t="s">
        <v>235</v>
      </c>
      <c r="D34" s="70" t="s">
        <v>234</v>
      </c>
      <c r="E34" s="61">
        <v>1</v>
      </c>
      <c r="F34" s="85">
        <v>2.17</v>
      </c>
      <c r="G34" s="86">
        <f>E34*F34</f>
        <v>2.17</v>
      </c>
      <c r="H34" s="1">
        <v>10.63</v>
      </c>
    </row>
    <row r="35" spans="2:8" x14ac:dyDescent="0.25">
      <c r="B35" s="7" t="s">
        <v>196</v>
      </c>
      <c r="C35" s="5" t="s">
        <v>221</v>
      </c>
      <c r="D35" s="15" t="s">
        <v>87</v>
      </c>
      <c r="E35" s="2">
        <v>0.05</v>
      </c>
      <c r="F35" s="85">
        <f>H35*0.97</f>
        <v>7.6435999999999993</v>
      </c>
      <c r="G35" s="86">
        <f>ROUND(E35*F35,2)</f>
        <v>0.38</v>
      </c>
      <c r="H35" s="1">
        <v>7.88</v>
      </c>
    </row>
    <row r="36" spans="2:8" x14ac:dyDescent="0.25">
      <c r="B36" s="93" t="s">
        <v>191</v>
      </c>
      <c r="C36" s="5" t="s">
        <v>193</v>
      </c>
      <c r="D36" s="15" t="s">
        <v>87</v>
      </c>
      <c r="E36" s="1">
        <v>0.05</v>
      </c>
      <c r="F36" s="61">
        <v>5.0599999999999996</v>
      </c>
      <c r="G36" s="9">
        <f>ROUND(E36*F36,2)</f>
        <v>0.25</v>
      </c>
      <c r="H36" s="1">
        <v>1.83</v>
      </c>
    </row>
    <row r="37" spans="2:8" ht="15.75" thickBot="1" x14ac:dyDescent="0.3">
      <c r="B37" s="92" t="s">
        <v>192</v>
      </c>
      <c r="C37" s="5" t="s">
        <v>194</v>
      </c>
      <c r="D37" s="15" t="s">
        <v>87</v>
      </c>
      <c r="E37" s="1">
        <v>0.05</v>
      </c>
      <c r="F37" s="61">
        <v>3.41</v>
      </c>
      <c r="G37" s="9">
        <f>ROUND(E37*F37,2)</f>
        <v>0.17</v>
      </c>
      <c r="H37" s="1">
        <v>1.78</v>
      </c>
    </row>
    <row r="38" spans="2:8" x14ac:dyDescent="0.25">
      <c r="B38" s="16" t="s">
        <v>41</v>
      </c>
      <c r="C38" s="24" t="s">
        <v>42</v>
      </c>
      <c r="D38" s="17" t="s">
        <v>43</v>
      </c>
      <c r="E38" s="17" t="s">
        <v>44</v>
      </c>
      <c r="F38" s="20" t="s">
        <v>45</v>
      </c>
      <c r="G38" s="22" t="s">
        <v>46</v>
      </c>
    </row>
    <row r="39" spans="2:8" ht="15.75" thickBot="1" x14ac:dyDescent="0.3">
      <c r="B39" s="18">
        <v>0</v>
      </c>
      <c r="C39" s="94">
        <f>G34</f>
        <v>2.17</v>
      </c>
      <c r="D39" s="94">
        <f>G35+G36+G37</f>
        <v>0.8</v>
      </c>
      <c r="E39" s="19">
        <f>SUM(G36:G37)</f>
        <v>0.42000000000000004</v>
      </c>
      <c r="F39" s="21">
        <v>0</v>
      </c>
      <c r="G39" s="87">
        <f>SUM(G34:G37)+0.01</f>
        <v>2.9799999999999995</v>
      </c>
    </row>
  </sheetData>
  <mergeCells count="6">
    <mergeCell ref="B32:G32"/>
    <mergeCell ref="B3:G3"/>
    <mergeCell ref="B4:G4"/>
    <mergeCell ref="B15:G15"/>
    <mergeCell ref="B16:G16"/>
    <mergeCell ref="B31:G31"/>
  </mergeCells>
  <pageMargins left="1.1811023622047245" right="0.78740157480314965" top="0.78740157480314965" bottom="0.78740157480314965" header="0" footer="0"/>
  <pageSetup paperSize="9" scale="75" orientation="portrait" verticalDpi="30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40"/>
  <dimension ref="B2:H39"/>
  <sheetViews>
    <sheetView view="pageBreakPreview" zoomScaleNormal="100" zoomScaleSheetLayoutView="100" workbookViewId="0">
      <selection activeCell="B34" sqref="B34:G39"/>
    </sheetView>
  </sheetViews>
  <sheetFormatPr defaultRowHeight="15" x14ac:dyDescent="0.25"/>
  <cols>
    <col min="2" max="2" width="12.85546875" bestFit="1" customWidth="1"/>
    <col min="3" max="3" width="44.85546875" customWidth="1"/>
    <col min="4" max="4" width="12.7109375" bestFit="1" customWidth="1"/>
    <col min="5" max="5" width="10.140625" bestFit="1" customWidth="1"/>
    <col min="6" max="6" width="10.28515625" bestFit="1" customWidth="1"/>
    <col min="7" max="7" width="15.5703125" bestFit="1" customWidth="1"/>
    <col min="8" max="8" width="0" hidden="1" customWidth="1"/>
  </cols>
  <sheetData>
    <row r="2" spans="2:7" ht="15.75" hidden="1" thickBot="1" x14ac:dyDescent="0.3"/>
    <row r="3" spans="2:7" ht="16.5" hidden="1" thickBot="1" x14ac:dyDescent="0.3">
      <c r="B3" s="383" t="s">
        <v>60</v>
      </c>
      <c r="C3" s="384"/>
      <c r="D3" s="384"/>
      <c r="E3" s="384"/>
      <c r="F3" s="384"/>
      <c r="G3" s="385"/>
    </row>
    <row r="4" spans="2:7" ht="60" hidden="1" customHeight="1" thickBot="1" x14ac:dyDescent="0.3">
      <c r="B4" s="380" t="s">
        <v>78</v>
      </c>
      <c r="C4" s="381"/>
      <c r="D4" s="381"/>
      <c r="E4" s="381"/>
      <c r="F4" s="381"/>
      <c r="G4" s="382"/>
    </row>
    <row r="5" spans="2:7" ht="15.75" hidden="1" thickBot="1" x14ac:dyDescent="0.3">
      <c r="B5" s="12" t="s">
        <v>34</v>
      </c>
      <c r="C5" s="13" t="s">
        <v>28</v>
      </c>
      <c r="D5" s="71" t="s">
        <v>29</v>
      </c>
      <c r="E5" s="71" t="s">
        <v>30</v>
      </c>
      <c r="F5" s="71" t="s">
        <v>31</v>
      </c>
      <c r="G5" s="72" t="s">
        <v>32</v>
      </c>
    </row>
    <row r="6" spans="2:7" hidden="1" x14ac:dyDescent="0.25">
      <c r="B6" s="10" t="s">
        <v>0</v>
      </c>
      <c r="C6" s="11" t="s">
        <v>88</v>
      </c>
      <c r="D6" s="70" t="s">
        <v>29</v>
      </c>
      <c r="E6" s="8">
        <v>1</v>
      </c>
      <c r="F6" s="8">
        <v>107.5</v>
      </c>
      <c r="G6" s="9">
        <v>107.5</v>
      </c>
    </row>
    <row r="7" spans="2:7" hidden="1" x14ac:dyDescent="0.25">
      <c r="B7" s="6" t="s">
        <v>83</v>
      </c>
      <c r="C7" s="5" t="s">
        <v>79</v>
      </c>
      <c r="D7" s="15" t="s">
        <v>87</v>
      </c>
      <c r="E7" s="1">
        <v>0.25</v>
      </c>
      <c r="F7" s="1">
        <v>4.05</v>
      </c>
      <c r="G7" s="9">
        <f>ROUND(E7*F7,2)</f>
        <v>1.01</v>
      </c>
    </row>
    <row r="8" spans="2:7" hidden="1" x14ac:dyDescent="0.25">
      <c r="B8" s="7" t="s">
        <v>84</v>
      </c>
      <c r="C8" s="5" t="s">
        <v>80</v>
      </c>
      <c r="D8" s="15" t="s">
        <v>87</v>
      </c>
      <c r="E8" s="1">
        <v>0.5</v>
      </c>
      <c r="F8" s="1">
        <v>4.05</v>
      </c>
      <c r="G8" s="9">
        <f>ROUND(E8*F8,2)</f>
        <v>2.0299999999999998</v>
      </c>
    </row>
    <row r="9" spans="2:7" hidden="1" x14ac:dyDescent="0.25">
      <c r="B9" s="6" t="s">
        <v>85</v>
      </c>
      <c r="C9" s="5" t="s">
        <v>81</v>
      </c>
      <c r="D9" s="15" t="s">
        <v>87</v>
      </c>
      <c r="E9" s="1">
        <v>0.5</v>
      </c>
      <c r="F9" s="1">
        <v>1.83</v>
      </c>
      <c r="G9" s="9">
        <f>ROUND(E9*F9,2)</f>
        <v>0.92</v>
      </c>
    </row>
    <row r="10" spans="2:7" ht="15.75" hidden="1" thickBot="1" x14ac:dyDescent="0.3">
      <c r="B10" s="6" t="s">
        <v>86</v>
      </c>
      <c r="C10" s="4" t="s">
        <v>82</v>
      </c>
      <c r="D10" s="15" t="s">
        <v>87</v>
      </c>
      <c r="E10" s="1">
        <v>0.25</v>
      </c>
      <c r="F10" s="1">
        <v>2.0099999999999998</v>
      </c>
      <c r="G10" s="9">
        <f>ROUND(E10*F10,2)</f>
        <v>0.5</v>
      </c>
    </row>
    <row r="11" spans="2:7" hidden="1" x14ac:dyDescent="0.25">
      <c r="B11" s="16" t="s">
        <v>41</v>
      </c>
      <c r="C11" s="24" t="s">
        <v>42</v>
      </c>
      <c r="D11" s="17" t="s">
        <v>43</v>
      </c>
      <c r="E11" s="17" t="s">
        <v>44</v>
      </c>
      <c r="F11" s="20" t="s">
        <v>45</v>
      </c>
      <c r="G11" s="22" t="s">
        <v>46</v>
      </c>
    </row>
    <row r="12" spans="2:7" ht="15.75" hidden="1" thickBot="1" x14ac:dyDescent="0.3">
      <c r="B12" s="18">
        <v>0</v>
      </c>
      <c r="C12" s="19">
        <f>G6</f>
        <v>107.5</v>
      </c>
      <c r="D12" s="19">
        <f>SUM(G7:G8)</f>
        <v>3.04</v>
      </c>
      <c r="E12" s="19">
        <f>SUM(G9:G10)</f>
        <v>1.42</v>
      </c>
      <c r="F12" s="21">
        <v>0</v>
      </c>
      <c r="G12" s="23">
        <f>SUM(G6:G10)</f>
        <v>111.96000000000001</v>
      </c>
    </row>
    <row r="13" spans="2:7" hidden="1" x14ac:dyDescent="0.25"/>
    <row r="14" spans="2:7" ht="15.75" hidden="1" thickBot="1" x14ac:dyDescent="0.3"/>
    <row r="15" spans="2:7" ht="16.5" hidden="1" thickBot="1" x14ac:dyDescent="0.3">
      <c r="B15" s="383" t="s">
        <v>60</v>
      </c>
      <c r="C15" s="384"/>
      <c r="D15" s="384"/>
      <c r="E15" s="384"/>
      <c r="F15" s="384"/>
      <c r="G15" s="385"/>
    </row>
    <row r="16" spans="2:7" ht="61.5" hidden="1" customHeight="1" thickBot="1" x14ac:dyDescent="0.3">
      <c r="B16" s="380" t="s">
        <v>89</v>
      </c>
      <c r="C16" s="381"/>
      <c r="D16" s="381"/>
      <c r="E16" s="381"/>
      <c r="F16" s="381"/>
      <c r="G16" s="382"/>
    </row>
    <row r="17" spans="2:7" ht="15.75" hidden="1" thickBot="1" x14ac:dyDescent="0.3">
      <c r="B17" s="12" t="s">
        <v>34</v>
      </c>
      <c r="C17" s="13" t="s">
        <v>28</v>
      </c>
      <c r="D17" s="71" t="s">
        <v>29</v>
      </c>
      <c r="E17" s="71" t="s">
        <v>30</v>
      </c>
      <c r="F17" s="71" t="s">
        <v>31</v>
      </c>
      <c r="G17" s="72" t="s">
        <v>32</v>
      </c>
    </row>
    <row r="18" spans="2:7" ht="15.75" hidden="1" customHeight="1" x14ac:dyDescent="0.25">
      <c r="B18" s="10" t="s">
        <v>0</v>
      </c>
      <c r="C18" s="11" t="s">
        <v>90</v>
      </c>
      <c r="D18" s="70" t="s">
        <v>29</v>
      </c>
      <c r="E18" s="8">
        <v>1</v>
      </c>
      <c r="F18" s="8">
        <v>107.5</v>
      </c>
      <c r="G18" s="9">
        <v>302.57</v>
      </c>
    </row>
    <row r="19" spans="2:7" hidden="1" x14ac:dyDescent="0.25">
      <c r="B19" s="6" t="s">
        <v>83</v>
      </c>
      <c r="C19" s="5" t="s">
        <v>79</v>
      </c>
      <c r="D19" s="15" t="s">
        <v>87</v>
      </c>
      <c r="E19" s="1">
        <v>0.25</v>
      </c>
      <c r="F19" s="1">
        <v>4.05</v>
      </c>
      <c r="G19" s="9">
        <f>ROUND(E19*F19,2)</f>
        <v>1.01</v>
      </c>
    </row>
    <row r="20" spans="2:7" hidden="1" x14ac:dyDescent="0.25">
      <c r="B20" s="7" t="s">
        <v>84</v>
      </c>
      <c r="C20" s="5" t="s">
        <v>80</v>
      </c>
      <c r="D20" s="15" t="s">
        <v>87</v>
      </c>
      <c r="E20" s="1">
        <v>0.5</v>
      </c>
      <c r="F20" s="1">
        <v>4.05</v>
      </c>
      <c r="G20" s="9">
        <f>ROUND(E20*F20,2)</f>
        <v>2.0299999999999998</v>
      </c>
    </row>
    <row r="21" spans="2:7" hidden="1" x14ac:dyDescent="0.25">
      <c r="B21" s="6" t="s">
        <v>85</v>
      </c>
      <c r="C21" s="5" t="s">
        <v>81</v>
      </c>
      <c r="D21" s="15" t="s">
        <v>87</v>
      </c>
      <c r="E21" s="1">
        <v>0.5</v>
      </c>
      <c r="F21" s="1">
        <v>1.83</v>
      </c>
      <c r="G21" s="9">
        <f>ROUND(E21*F21,2)</f>
        <v>0.92</v>
      </c>
    </row>
    <row r="22" spans="2:7" ht="15.75" hidden="1" thickBot="1" x14ac:dyDescent="0.3">
      <c r="B22" s="6" t="s">
        <v>86</v>
      </c>
      <c r="C22" s="4" t="s">
        <v>82</v>
      </c>
      <c r="D22" s="15" t="s">
        <v>87</v>
      </c>
      <c r="E22" s="1">
        <v>0.25</v>
      </c>
      <c r="F22" s="1">
        <v>2.0099999999999998</v>
      </c>
      <c r="G22" s="9">
        <f>ROUND(E22*F22,2)</f>
        <v>0.5</v>
      </c>
    </row>
    <row r="23" spans="2:7" hidden="1" x14ac:dyDescent="0.25">
      <c r="B23" s="16" t="s">
        <v>41</v>
      </c>
      <c r="C23" s="24" t="s">
        <v>42</v>
      </c>
      <c r="D23" s="17" t="s">
        <v>43</v>
      </c>
      <c r="E23" s="17" t="s">
        <v>44</v>
      </c>
      <c r="F23" s="20" t="s">
        <v>45</v>
      </c>
      <c r="G23" s="22" t="s">
        <v>46</v>
      </c>
    </row>
    <row r="24" spans="2:7" ht="15.75" hidden="1" thickBot="1" x14ac:dyDescent="0.3">
      <c r="B24" s="18">
        <v>0</v>
      </c>
      <c r="C24" s="19">
        <f>G18</f>
        <v>302.57</v>
      </c>
      <c r="D24" s="19">
        <f>SUM(G19:G20)</f>
        <v>3.04</v>
      </c>
      <c r="E24" s="19">
        <f>SUM(G21:G22)</f>
        <v>1.42</v>
      </c>
      <c r="F24" s="21">
        <v>0</v>
      </c>
      <c r="G24" s="23">
        <f>SUM(G18:G22)</f>
        <v>307.02999999999997</v>
      </c>
    </row>
    <row r="25" spans="2:7" hidden="1" x14ac:dyDescent="0.25"/>
    <row r="26" spans="2:7" hidden="1" x14ac:dyDescent="0.25"/>
    <row r="30" spans="2:7" ht="15.75" thickBot="1" x14ac:dyDescent="0.3"/>
    <row r="31" spans="2:7" ht="16.5" thickBot="1" x14ac:dyDescent="0.3">
      <c r="B31" s="383" t="s">
        <v>60</v>
      </c>
      <c r="C31" s="384"/>
      <c r="D31" s="384"/>
      <c r="E31" s="384"/>
      <c r="F31" s="384"/>
      <c r="G31" s="385"/>
    </row>
    <row r="32" spans="2:7" ht="65.25" customHeight="1" thickBot="1" x14ac:dyDescent="0.3">
      <c r="B32" s="380" t="s">
        <v>178</v>
      </c>
      <c r="C32" s="381"/>
      <c r="D32" s="381"/>
      <c r="E32" s="381"/>
      <c r="F32" s="381"/>
      <c r="G32" s="382"/>
    </row>
    <row r="33" spans="2:8" ht="15.75" thickBot="1" x14ac:dyDescent="0.3">
      <c r="B33" s="12" t="s">
        <v>34</v>
      </c>
      <c r="C33" s="13" t="s">
        <v>28</v>
      </c>
      <c r="D33" s="71" t="s">
        <v>29</v>
      </c>
      <c r="E33" s="71" t="s">
        <v>30</v>
      </c>
      <c r="F33" s="71" t="s">
        <v>31</v>
      </c>
      <c r="G33" s="72" t="s">
        <v>32</v>
      </c>
    </row>
    <row r="34" spans="2:8" x14ac:dyDescent="0.25">
      <c r="B34" s="10" t="s">
        <v>190</v>
      </c>
      <c r="C34" s="11" t="s">
        <v>236</v>
      </c>
      <c r="D34" s="70" t="s">
        <v>234</v>
      </c>
      <c r="E34" s="61">
        <v>1</v>
      </c>
      <c r="F34" s="85">
        <v>3.49</v>
      </c>
      <c r="G34" s="86">
        <f>E34*F34</f>
        <v>3.49</v>
      </c>
      <c r="H34" s="1">
        <v>10.63</v>
      </c>
    </row>
    <row r="35" spans="2:8" x14ac:dyDescent="0.25">
      <c r="B35" s="7" t="s">
        <v>196</v>
      </c>
      <c r="C35" s="5" t="s">
        <v>221</v>
      </c>
      <c r="D35" s="15" t="s">
        <v>87</v>
      </c>
      <c r="E35" s="2">
        <v>0.05</v>
      </c>
      <c r="F35" s="85">
        <f>H35*0.97</f>
        <v>7.6435999999999993</v>
      </c>
      <c r="G35" s="86">
        <f>ROUND(E35*F35,2)</f>
        <v>0.38</v>
      </c>
      <c r="H35" s="1">
        <v>7.88</v>
      </c>
    </row>
    <row r="36" spans="2:8" x14ac:dyDescent="0.25">
      <c r="B36" s="93" t="s">
        <v>191</v>
      </c>
      <c r="C36" s="5" t="s">
        <v>193</v>
      </c>
      <c r="D36" s="15" t="s">
        <v>87</v>
      </c>
      <c r="E36" s="1">
        <v>0.05</v>
      </c>
      <c r="F36" s="61">
        <v>5.0599999999999996</v>
      </c>
      <c r="G36" s="9">
        <f>ROUND(E36*F36,2)</f>
        <v>0.25</v>
      </c>
      <c r="H36" s="1">
        <v>1.83</v>
      </c>
    </row>
    <row r="37" spans="2:8" ht="15.75" thickBot="1" x14ac:dyDescent="0.3">
      <c r="B37" s="92" t="s">
        <v>192</v>
      </c>
      <c r="C37" s="5" t="s">
        <v>194</v>
      </c>
      <c r="D37" s="15" t="s">
        <v>87</v>
      </c>
      <c r="E37" s="1">
        <v>0.05</v>
      </c>
      <c r="F37" s="61">
        <v>3.41</v>
      </c>
      <c r="G37" s="9">
        <f>ROUND(E37*F37,2)</f>
        <v>0.17</v>
      </c>
      <c r="H37" s="1">
        <v>1.78</v>
      </c>
    </row>
    <row r="38" spans="2:8" x14ac:dyDescent="0.25">
      <c r="B38" s="16" t="s">
        <v>41</v>
      </c>
      <c r="C38" s="24" t="s">
        <v>42</v>
      </c>
      <c r="D38" s="17" t="s">
        <v>43</v>
      </c>
      <c r="E38" s="17" t="s">
        <v>44</v>
      </c>
      <c r="F38" s="20" t="s">
        <v>45</v>
      </c>
      <c r="G38" s="22" t="s">
        <v>46</v>
      </c>
    </row>
    <row r="39" spans="2:8" ht="15.75" thickBot="1" x14ac:dyDescent="0.3">
      <c r="B39" s="18">
        <v>0</v>
      </c>
      <c r="C39" s="94">
        <f>G34</f>
        <v>3.49</v>
      </c>
      <c r="D39" s="94">
        <f>G35+G36+G37</f>
        <v>0.8</v>
      </c>
      <c r="E39" s="19">
        <f>SUM(G36:G37)</f>
        <v>0.42000000000000004</v>
      </c>
      <c r="F39" s="21">
        <v>0</v>
      </c>
      <c r="G39" s="87">
        <f>SUM(G34:G37)+0.01</f>
        <v>4.3</v>
      </c>
    </row>
  </sheetData>
  <mergeCells count="6">
    <mergeCell ref="B32:G32"/>
    <mergeCell ref="B3:G3"/>
    <mergeCell ref="B4:G4"/>
    <mergeCell ref="B15:G15"/>
    <mergeCell ref="B16:G16"/>
    <mergeCell ref="B31:G31"/>
  </mergeCells>
  <pageMargins left="1.1811023622047245" right="0.78740157480314965" top="0.78740157480314965" bottom="0.78740157480314965" header="0" footer="0"/>
  <pageSetup paperSize="9" scale="75" orientation="portrait" verticalDpi="30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41"/>
  <dimension ref="B2:H39"/>
  <sheetViews>
    <sheetView view="pageBreakPreview" zoomScaleNormal="100" zoomScaleSheetLayoutView="100" workbookViewId="0">
      <selection activeCell="B34" sqref="B34:G39"/>
    </sheetView>
  </sheetViews>
  <sheetFormatPr defaultRowHeight="15" x14ac:dyDescent="0.25"/>
  <cols>
    <col min="2" max="2" width="12.85546875" bestFit="1" customWidth="1"/>
    <col min="3" max="3" width="44.85546875" customWidth="1"/>
    <col min="4" max="4" width="12.7109375" bestFit="1" customWidth="1"/>
    <col min="5" max="5" width="10.140625" bestFit="1" customWidth="1"/>
    <col min="6" max="6" width="10.28515625" bestFit="1" customWidth="1"/>
    <col min="7" max="7" width="15.5703125" bestFit="1" customWidth="1"/>
    <col min="8" max="8" width="0" hidden="1" customWidth="1"/>
  </cols>
  <sheetData>
    <row r="2" spans="2:7" ht="15.75" hidden="1" thickBot="1" x14ac:dyDescent="0.3"/>
    <row r="3" spans="2:7" ht="16.5" hidden="1" thickBot="1" x14ac:dyDescent="0.3">
      <c r="B3" s="383" t="s">
        <v>60</v>
      </c>
      <c r="C3" s="384"/>
      <c r="D3" s="384"/>
      <c r="E3" s="384"/>
      <c r="F3" s="384"/>
      <c r="G3" s="385"/>
    </row>
    <row r="4" spans="2:7" ht="60" hidden="1" customHeight="1" thickBot="1" x14ac:dyDescent="0.3">
      <c r="B4" s="380" t="s">
        <v>78</v>
      </c>
      <c r="C4" s="381"/>
      <c r="D4" s="381"/>
      <c r="E4" s="381"/>
      <c r="F4" s="381"/>
      <c r="G4" s="382"/>
    </row>
    <row r="5" spans="2:7" ht="15.75" hidden="1" thickBot="1" x14ac:dyDescent="0.3">
      <c r="B5" s="12" t="s">
        <v>34</v>
      </c>
      <c r="C5" s="13" t="s">
        <v>28</v>
      </c>
      <c r="D5" s="71" t="s">
        <v>29</v>
      </c>
      <c r="E5" s="71" t="s">
        <v>30</v>
      </c>
      <c r="F5" s="71" t="s">
        <v>31</v>
      </c>
      <c r="G5" s="72" t="s">
        <v>32</v>
      </c>
    </row>
    <row r="6" spans="2:7" hidden="1" x14ac:dyDescent="0.25">
      <c r="B6" s="10" t="s">
        <v>0</v>
      </c>
      <c r="C6" s="11" t="s">
        <v>88</v>
      </c>
      <c r="D6" s="70" t="s">
        <v>29</v>
      </c>
      <c r="E6" s="8">
        <v>1</v>
      </c>
      <c r="F6" s="8">
        <v>107.5</v>
      </c>
      <c r="G6" s="9">
        <v>107.5</v>
      </c>
    </row>
    <row r="7" spans="2:7" hidden="1" x14ac:dyDescent="0.25">
      <c r="B7" s="6" t="s">
        <v>83</v>
      </c>
      <c r="C7" s="5" t="s">
        <v>79</v>
      </c>
      <c r="D7" s="15" t="s">
        <v>87</v>
      </c>
      <c r="E7" s="1">
        <v>0.25</v>
      </c>
      <c r="F7" s="1">
        <v>4.05</v>
      </c>
      <c r="G7" s="9">
        <f>ROUND(E7*F7,2)</f>
        <v>1.01</v>
      </c>
    </row>
    <row r="8" spans="2:7" hidden="1" x14ac:dyDescent="0.25">
      <c r="B8" s="7" t="s">
        <v>84</v>
      </c>
      <c r="C8" s="5" t="s">
        <v>80</v>
      </c>
      <c r="D8" s="15" t="s">
        <v>87</v>
      </c>
      <c r="E8" s="1">
        <v>0.5</v>
      </c>
      <c r="F8" s="1">
        <v>4.05</v>
      </c>
      <c r="G8" s="9">
        <f>ROUND(E8*F8,2)</f>
        <v>2.0299999999999998</v>
      </c>
    </row>
    <row r="9" spans="2:7" hidden="1" x14ac:dyDescent="0.25">
      <c r="B9" s="6" t="s">
        <v>85</v>
      </c>
      <c r="C9" s="5" t="s">
        <v>81</v>
      </c>
      <c r="D9" s="15" t="s">
        <v>87</v>
      </c>
      <c r="E9" s="1">
        <v>0.5</v>
      </c>
      <c r="F9" s="1">
        <v>1.83</v>
      </c>
      <c r="G9" s="9">
        <f>ROUND(E9*F9,2)</f>
        <v>0.92</v>
      </c>
    </row>
    <row r="10" spans="2:7" ht="15.75" hidden="1" thickBot="1" x14ac:dyDescent="0.3">
      <c r="B10" s="6" t="s">
        <v>86</v>
      </c>
      <c r="C10" s="4" t="s">
        <v>82</v>
      </c>
      <c r="D10" s="15" t="s">
        <v>87</v>
      </c>
      <c r="E10" s="1">
        <v>0.25</v>
      </c>
      <c r="F10" s="1">
        <v>2.0099999999999998</v>
      </c>
      <c r="G10" s="9">
        <f>ROUND(E10*F10,2)</f>
        <v>0.5</v>
      </c>
    </row>
    <row r="11" spans="2:7" hidden="1" x14ac:dyDescent="0.25">
      <c r="B11" s="16" t="s">
        <v>41</v>
      </c>
      <c r="C11" s="24" t="s">
        <v>42</v>
      </c>
      <c r="D11" s="17" t="s">
        <v>43</v>
      </c>
      <c r="E11" s="17" t="s">
        <v>44</v>
      </c>
      <c r="F11" s="20" t="s">
        <v>45</v>
      </c>
      <c r="G11" s="22" t="s">
        <v>46</v>
      </c>
    </row>
    <row r="12" spans="2:7" ht="15.75" hidden="1" thickBot="1" x14ac:dyDescent="0.3">
      <c r="B12" s="18">
        <v>0</v>
      </c>
      <c r="C12" s="19">
        <f>G6</f>
        <v>107.5</v>
      </c>
      <c r="D12" s="19">
        <f>SUM(G7:G8)</f>
        <v>3.04</v>
      </c>
      <c r="E12" s="19">
        <f>SUM(G9:G10)</f>
        <v>1.42</v>
      </c>
      <c r="F12" s="21">
        <v>0</v>
      </c>
      <c r="G12" s="23">
        <f>SUM(G6:G10)</f>
        <v>111.96000000000001</v>
      </c>
    </row>
    <row r="13" spans="2:7" hidden="1" x14ac:dyDescent="0.25"/>
    <row r="14" spans="2:7" ht="15.75" hidden="1" thickBot="1" x14ac:dyDescent="0.3"/>
    <row r="15" spans="2:7" ht="16.5" hidden="1" thickBot="1" x14ac:dyDescent="0.3">
      <c r="B15" s="383" t="s">
        <v>60</v>
      </c>
      <c r="C15" s="384"/>
      <c r="D15" s="384"/>
      <c r="E15" s="384"/>
      <c r="F15" s="384"/>
      <c r="G15" s="385"/>
    </row>
    <row r="16" spans="2:7" ht="61.5" hidden="1" customHeight="1" thickBot="1" x14ac:dyDescent="0.3">
      <c r="B16" s="380" t="s">
        <v>89</v>
      </c>
      <c r="C16" s="381"/>
      <c r="D16" s="381"/>
      <c r="E16" s="381"/>
      <c r="F16" s="381"/>
      <c r="G16" s="382"/>
    </row>
    <row r="17" spans="2:7" ht="15.75" hidden="1" thickBot="1" x14ac:dyDescent="0.3">
      <c r="B17" s="12" t="s">
        <v>34</v>
      </c>
      <c r="C17" s="13" t="s">
        <v>28</v>
      </c>
      <c r="D17" s="71" t="s">
        <v>29</v>
      </c>
      <c r="E17" s="71" t="s">
        <v>30</v>
      </c>
      <c r="F17" s="71" t="s">
        <v>31</v>
      </c>
      <c r="G17" s="72" t="s">
        <v>32</v>
      </c>
    </row>
    <row r="18" spans="2:7" ht="15.75" hidden="1" customHeight="1" x14ac:dyDescent="0.25">
      <c r="B18" s="10" t="s">
        <v>0</v>
      </c>
      <c r="C18" s="11" t="s">
        <v>90</v>
      </c>
      <c r="D18" s="70" t="s">
        <v>29</v>
      </c>
      <c r="E18" s="8">
        <v>1</v>
      </c>
      <c r="F18" s="8">
        <v>107.5</v>
      </c>
      <c r="G18" s="9">
        <v>302.57</v>
      </c>
    </row>
    <row r="19" spans="2:7" hidden="1" x14ac:dyDescent="0.25">
      <c r="B19" s="6" t="s">
        <v>83</v>
      </c>
      <c r="C19" s="5" t="s">
        <v>79</v>
      </c>
      <c r="D19" s="15" t="s">
        <v>87</v>
      </c>
      <c r="E19" s="1">
        <v>0.25</v>
      </c>
      <c r="F19" s="1">
        <v>4.05</v>
      </c>
      <c r="G19" s="9">
        <f>ROUND(E19*F19,2)</f>
        <v>1.01</v>
      </c>
    </row>
    <row r="20" spans="2:7" hidden="1" x14ac:dyDescent="0.25">
      <c r="B20" s="7" t="s">
        <v>84</v>
      </c>
      <c r="C20" s="5" t="s">
        <v>80</v>
      </c>
      <c r="D20" s="15" t="s">
        <v>87</v>
      </c>
      <c r="E20" s="1">
        <v>0.5</v>
      </c>
      <c r="F20" s="1">
        <v>4.05</v>
      </c>
      <c r="G20" s="9">
        <f>ROUND(E20*F20,2)</f>
        <v>2.0299999999999998</v>
      </c>
    </row>
    <row r="21" spans="2:7" hidden="1" x14ac:dyDescent="0.25">
      <c r="B21" s="6" t="s">
        <v>85</v>
      </c>
      <c r="C21" s="5" t="s">
        <v>81</v>
      </c>
      <c r="D21" s="15" t="s">
        <v>87</v>
      </c>
      <c r="E21" s="1">
        <v>0.5</v>
      </c>
      <c r="F21" s="1">
        <v>1.83</v>
      </c>
      <c r="G21" s="9">
        <f>ROUND(E21*F21,2)</f>
        <v>0.92</v>
      </c>
    </row>
    <row r="22" spans="2:7" ht="15.75" hidden="1" thickBot="1" x14ac:dyDescent="0.3">
      <c r="B22" s="6" t="s">
        <v>86</v>
      </c>
      <c r="C22" s="4" t="s">
        <v>82</v>
      </c>
      <c r="D22" s="15" t="s">
        <v>87</v>
      </c>
      <c r="E22" s="1">
        <v>0.25</v>
      </c>
      <c r="F22" s="1">
        <v>2.0099999999999998</v>
      </c>
      <c r="G22" s="9">
        <f>ROUND(E22*F22,2)</f>
        <v>0.5</v>
      </c>
    </row>
    <row r="23" spans="2:7" hidden="1" x14ac:dyDescent="0.25">
      <c r="B23" s="16" t="s">
        <v>41</v>
      </c>
      <c r="C23" s="24" t="s">
        <v>42</v>
      </c>
      <c r="D23" s="17" t="s">
        <v>43</v>
      </c>
      <c r="E23" s="17" t="s">
        <v>44</v>
      </c>
      <c r="F23" s="20" t="s">
        <v>45</v>
      </c>
      <c r="G23" s="22" t="s">
        <v>46</v>
      </c>
    </row>
    <row r="24" spans="2:7" ht="15.75" hidden="1" thickBot="1" x14ac:dyDescent="0.3">
      <c r="B24" s="18">
        <v>0</v>
      </c>
      <c r="C24" s="19">
        <f>G18</f>
        <v>302.57</v>
      </c>
      <c r="D24" s="19">
        <f>SUM(G19:G20)</f>
        <v>3.04</v>
      </c>
      <c r="E24" s="19">
        <f>SUM(G21:G22)</f>
        <v>1.42</v>
      </c>
      <c r="F24" s="21">
        <v>0</v>
      </c>
      <c r="G24" s="23">
        <f>SUM(G18:G22)</f>
        <v>307.02999999999997</v>
      </c>
    </row>
    <row r="25" spans="2:7" hidden="1" x14ac:dyDescent="0.25"/>
    <row r="30" spans="2:7" ht="15.75" thickBot="1" x14ac:dyDescent="0.3"/>
    <row r="31" spans="2:7" ht="16.5" thickBot="1" x14ac:dyDescent="0.3">
      <c r="B31" s="383" t="s">
        <v>60</v>
      </c>
      <c r="C31" s="384"/>
      <c r="D31" s="384"/>
      <c r="E31" s="384"/>
      <c r="F31" s="384"/>
      <c r="G31" s="385"/>
    </row>
    <row r="32" spans="2:7" ht="65.25" customHeight="1" thickBot="1" x14ac:dyDescent="0.3">
      <c r="B32" s="380" t="s">
        <v>179</v>
      </c>
      <c r="C32" s="381"/>
      <c r="D32" s="381"/>
      <c r="E32" s="381"/>
      <c r="F32" s="381"/>
      <c r="G32" s="382"/>
    </row>
    <row r="33" spans="2:8" ht="15.75" thickBot="1" x14ac:dyDescent="0.3">
      <c r="B33" s="12" t="s">
        <v>34</v>
      </c>
      <c r="C33" s="13" t="s">
        <v>28</v>
      </c>
      <c r="D33" s="71" t="s">
        <v>29</v>
      </c>
      <c r="E33" s="71" t="s">
        <v>30</v>
      </c>
      <c r="F33" s="71" t="s">
        <v>31</v>
      </c>
      <c r="G33" s="72" t="s">
        <v>32</v>
      </c>
    </row>
    <row r="34" spans="2:8" x14ac:dyDescent="0.25">
      <c r="B34" s="10" t="s">
        <v>190</v>
      </c>
      <c r="C34" s="11" t="s">
        <v>237</v>
      </c>
      <c r="D34" s="70" t="s">
        <v>234</v>
      </c>
      <c r="E34" s="61">
        <v>1</v>
      </c>
      <c r="F34" s="85">
        <v>5.34</v>
      </c>
      <c r="G34" s="86">
        <f>E34*F34</f>
        <v>5.34</v>
      </c>
      <c r="H34" s="1">
        <v>10.63</v>
      </c>
    </row>
    <row r="35" spans="2:8" x14ac:dyDescent="0.25">
      <c r="B35" s="7" t="s">
        <v>196</v>
      </c>
      <c r="C35" s="5" t="s">
        <v>221</v>
      </c>
      <c r="D35" s="15" t="s">
        <v>87</v>
      </c>
      <c r="E35" s="2">
        <v>0.05</v>
      </c>
      <c r="F35" s="85">
        <f>H35*0.97</f>
        <v>7.6435999999999993</v>
      </c>
      <c r="G35" s="86">
        <f>ROUND(E35*F35,2)</f>
        <v>0.38</v>
      </c>
      <c r="H35" s="1">
        <v>7.88</v>
      </c>
    </row>
    <row r="36" spans="2:8" x14ac:dyDescent="0.25">
      <c r="B36" s="93" t="s">
        <v>191</v>
      </c>
      <c r="C36" s="5" t="s">
        <v>193</v>
      </c>
      <c r="D36" s="15" t="s">
        <v>87</v>
      </c>
      <c r="E36" s="1">
        <v>0.05</v>
      </c>
      <c r="F36" s="61">
        <v>5.0599999999999996</v>
      </c>
      <c r="G36" s="9">
        <f>ROUND(E36*F36,2)</f>
        <v>0.25</v>
      </c>
      <c r="H36" s="1">
        <v>1.83</v>
      </c>
    </row>
    <row r="37" spans="2:8" ht="15.75" thickBot="1" x14ac:dyDescent="0.3">
      <c r="B37" s="92" t="s">
        <v>192</v>
      </c>
      <c r="C37" s="5" t="s">
        <v>194</v>
      </c>
      <c r="D37" s="15" t="s">
        <v>87</v>
      </c>
      <c r="E37" s="1">
        <v>0.05</v>
      </c>
      <c r="F37" s="61">
        <v>3.41</v>
      </c>
      <c r="G37" s="9">
        <f>ROUND(E37*F37,2)</f>
        <v>0.17</v>
      </c>
      <c r="H37" s="1">
        <v>1.78</v>
      </c>
    </row>
    <row r="38" spans="2:8" x14ac:dyDescent="0.25">
      <c r="B38" s="16" t="s">
        <v>41</v>
      </c>
      <c r="C38" s="24" t="s">
        <v>42</v>
      </c>
      <c r="D38" s="17" t="s">
        <v>43</v>
      </c>
      <c r="E38" s="17" t="s">
        <v>44</v>
      </c>
      <c r="F38" s="20" t="s">
        <v>45</v>
      </c>
      <c r="G38" s="22" t="s">
        <v>46</v>
      </c>
    </row>
    <row r="39" spans="2:8" ht="15.75" thickBot="1" x14ac:dyDescent="0.3">
      <c r="B39" s="18">
        <v>0</v>
      </c>
      <c r="C39" s="94">
        <f>G34</f>
        <v>5.34</v>
      </c>
      <c r="D39" s="94">
        <f>G35+G36+G37</f>
        <v>0.8</v>
      </c>
      <c r="E39" s="19">
        <f>SUM(G36:G37)</f>
        <v>0.42000000000000004</v>
      </c>
      <c r="F39" s="21">
        <v>0</v>
      </c>
      <c r="G39" s="87">
        <f>SUM(G34:G37)+0.01</f>
        <v>6.1499999999999995</v>
      </c>
    </row>
  </sheetData>
  <mergeCells count="6">
    <mergeCell ref="B32:G32"/>
    <mergeCell ref="B3:G3"/>
    <mergeCell ref="B4:G4"/>
    <mergeCell ref="B15:G15"/>
    <mergeCell ref="B16:G16"/>
    <mergeCell ref="B31:G31"/>
  </mergeCells>
  <pageMargins left="1.1811023622047245" right="0.78740157480314965" top="0.78740157480314965" bottom="0.78740157480314965" header="0" footer="0"/>
  <pageSetup paperSize="9" scale="75" orientation="portrait" verticalDpi="300"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42"/>
  <dimension ref="B2:H39"/>
  <sheetViews>
    <sheetView view="pageBreakPreview" zoomScaleNormal="100" zoomScaleSheetLayoutView="100" workbookViewId="0">
      <selection activeCell="B34" sqref="B34:D36"/>
    </sheetView>
  </sheetViews>
  <sheetFormatPr defaultRowHeight="15" x14ac:dyDescent="0.25"/>
  <cols>
    <col min="2" max="2" width="12.85546875" bestFit="1" customWidth="1"/>
    <col min="3" max="3" width="44.85546875" customWidth="1"/>
    <col min="4" max="4" width="12.7109375" bestFit="1" customWidth="1"/>
    <col min="5" max="5" width="10.140625" bestFit="1" customWidth="1"/>
    <col min="6" max="6" width="10.28515625" bestFit="1" customWidth="1"/>
    <col min="7" max="7" width="15.5703125" bestFit="1" customWidth="1"/>
    <col min="8" max="8" width="0" hidden="1" customWidth="1"/>
  </cols>
  <sheetData>
    <row r="2" spans="2:7" ht="15.75" hidden="1" thickBot="1" x14ac:dyDescent="0.3"/>
    <row r="3" spans="2:7" ht="16.5" hidden="1" thickBot="1" x14ac:dyDescent="0.3">
      <c r="B3" s="383" t="s">
        <v>60</v>
      </c>
      <c r="C3" s="384"/>
      <c r="D3" s="384"/>
      <c r="E3" s="384"/>
      <c r="F3" s="384"/>
      <c r="G3" s="385"/>
    </row>
    <row r="4" spans="2:7" ht="60" hidden="1" customHeight="1" thickBot="1" x14ac:dyDescent="0.3">
      <c r="B4" s="380" t="s">
        <v>78</v>
      </c>
      <c r="C4" s="381"/>
      <c r="D4" s="381"/>
      <c r="E4" s="381"/>
      <c r="F4" s="381"/>
      <c r="G4" s="382"/>
    </row>
    <row r="5" spans="2:7" ht="15.75" hidden="1" thickBot="1" x14ac:dyDescent="0.3">
      <c r="B5" s="12" t="s">
        <v>34</v>
      </c>
      <c r="C5" s="13" t="s">
        <v>28</v>
      </c>
      <c r="D5" s="71" t="s">
        <v>29</v>
      </c>
      <c r="E5" s="71" t="s">
        <v>30</v>
      </c>
      <c r="F5" s="71" t="s">
        <v>31</v>
      </c>
      <c r="G5" s="72" t="s">
        <v>32</v>
      </c>
    </row>
    <row r="6" spans="2:7" hidden="1" x14ac:dyDescent="0.25">
      <c r="B6" s="10" t="s">
        <v>0</v>
      </c>
      <c r="C6" s="11" t="s">
        <v>88</v>
      </c>
      <c r="D6" s="70" t="s">
        <v>29</v>
      </c>
      <c r="E6" s="8">
        <v>1</v>
      </c>
      <c r="F6" s="8">
        <v>107.5</v>
      </c>
      <c r="G6" s="9">
        <v>107.5</v>
      </c>
    </row>
    <row r="7" spans="2:7" hidden="1" x14ac:dyDescent="0.25">
      <c r="B7" s="6" t="s">
        <v>83</v>
      </c>
      <c r="C7" s="5" t="s">
        <v>79</v>
      </c>
      <c r="D7" s="15" t="s">
        <v>87</v>
      </c>
      <c r="E7" s="1">
        <v>0.25</v>
      </c>
      <c r="F7" s="1">
        <v>4.05</v>
      </c>
      <c r="G7" s="9">
        <f>ROUND(E7*F7,2)</f>
        <v>1.01</v>
      </c>
    </row>
    <row r="8" spans="2:7" hidden="1" x14ac:dyDescent="0.25">
      <c r="B8" s="7" t="s">
        <v>84</v>
      </c>
      <c r="C8" s="5" t="s">
        <v>80</v>
      </c>
      <c r="D8" s="15" t="s">
        <v>87</v>
      </c>
      <c r="E8" s="1">
        <v>0.5</v>
      </c>
      <c r="F8" s="1">
        <v>4.05</v>
      </c>
      <c r="G8" s="9">
        <f>ROUND(E8*F8,2)</f>
        <v>2.0299999999999998</v>
      </c>
    </row>
    <row r="9" spans="2:7" hidden="1" x14ac:dyDescent="0.25">
      <c r="B9" s="6" t="s">
        <v>85</v>
      </c>
      <c r="C9" s="5" t="s">
        <v>81</v>
      </c>
      <c r="D9" s="15" t="s">
        <v>87</v>
      </c>
      <c r="E9" s="1">
        <v>0.5</v>
      </c>
      <c r="F9" s="1">
        <v>1.83</v>
      </c>
      <c r="G9" s="9">
        <f>ROUND(E9*F9,2)</f>
        <v>0.92</v>
      </c>
    </row>
    <row r="10" spans="2:7" ht="15.75" hidden="1" thickBot="1" x14ac:dyDescent="0.3">
      <c r="B10" s="6" t="s">
        <v>86</v>
      </c>
      <c r="C10" s="4" t="s">
        <v>82</v>
      </c>
      <c r="D10" s="15" t="s">
        <v>87</v>
      </c>
      <c r="E10" s="1">
        <v>0.25</v>
      </c>
      <c r="F10" s="1">
        <v>2.0099999999999998</v>
      </c>
      <c r="G10" s="9">
        <f>ROUND(E10*F10,2)</f>
        <v>0.5</v>
      </c>
    </row>
    <row r="11" spans="2:7" hidden="1" x14ac:dyDescent="0.25">
      <c r="B11" s="16" t="s">
        <v>41</v>
      </c>
      <c r="C11" s="24" t="s">
        <v>42</v>
      </c>
      <c r="D11" s="17" t="s">
        <v>43</v>
      </c>
      <c r="E11" s="17" t="s">
        <v>44</v>
      </c>
      <c r="F11" s="20" t="s">
        <v>45</v>
      </c>
      <c r="G11" s="22" t="s">
        <v>46</v>
      </c>
    </row>
    <row r="12" spans="2:7" ht="15.75" hidden="1" thickBot="1" x14ac:dyDescent="0.3">
      <c r="B12" s="18">
        <v>0</v>
      </c>
      <c r="C12" s="19">
        <f>G6</f>
        <v>107.5</v>
      </c>
      <c r="D12" s="19">
        <f>SUM(G7:G8)</f>
        <v>3.04</v>
      </c>
      <c r="E12" s="19">
        <f>SUM(G9:G10)</f>
        <v>1.42</v>
      </c>
      <c r="F12" s="21">
        <v>0</v>
      </c>
      <c r="G12" s="23">
        <f>SUM(G6:G10)</f>
        <v>111.96000000000001</v>
      </c>
    </row>
    <row r="13" spans="2:7" hidden="1" x14ac:dyDescent="0.25"/>
    <row r="14" spans="2:7" ht="15.75" hidden="1" thickBot="1" x14ac:dyDescent="0.3"/>
    <row r="15" spans="2:7" ht="16.5" hidden="1" thickBot="1" x14ac:dyDescent="0.3">
      <c r="B15" s="383" t="s">
        <v>60</v>
      </c>
      <c r="C15" s="384"/>
      <c r="D15" s="384"/>
      <c r="E15" s="384"/>
      <c r="F15" s="384"/>
      <c r="G15" s="385"/>
    </row>
    <row r="16" spans="2:7" ht="61.5" hidden="1" customHeight="1" thickBot="1" x14ac:dyDescent="0.3">
      <c r="B16" s="380" t="s">
        <v>89</v>
      </c>
      <c r="C16" s="381"/>
      <c r="D16" s="381"/>
      <c r="E16" s="381"/>
      <c r="F16" s="381"/>
      <c r="G16" s="382"/>
    </row>
    <row r="17" spans="2:7" ht="15.75" hidden="1" thickBot="1" x14ac:dyDescent="0.3">
      <c r="B17" s="12" t="s">
        <v>34</v>
      </c>
      <c r="C17" s="13" t="s">
        <v>28</v>
      </c>
      <c r="D17" s="71" t="s">
        <v>29</v>
      </c>
      <c r="E17" s="71" t="s">
        <v>30</v>
      </c>
      <c r="F17" s="71" t="s">
        <v>31</v>
      </c>
      <c r="G17" s="72" t="s">
        <v>32</v>
      </c>
    </row>
    <row r="18" spans="2:7" ht="15.75" hidden="1" customHeight="1" x14ac:dyDescent="0.25">
      <c r="B18" s="10" t="s">
        <v>0</v>
      </c>
      <c r="C18" s="11" t="s">
        <v>90</v>
      </c>
      <c r="D18" s="70" t="s">
        <v>29</v>
      </c>
      <c r="E18" s="8">
        <v>1</v>
      </c>
      <c r="F18" s="8">
        <v>107.5</v>
      </c>
      <c r="G18" s="9">
        <v>302.57</v>
      </c>
    </row>
    <row r="19" spans="2:7" hidden="1" x14ac:dyDescent="0.25">
      <c r="B19" s="6" t="s">
        <v>83</v>
      </c>
      <c r="C19" s="5" t="s">
        <v>79</v>
      </c>
      <c r="D19" s="15" t="s">
        <v>87</v>
      </c>
      <c r="E19" s="1">
        <v>0.25</v>
      </c>
      <c r="F19" s="1">
        <v>4.05</v>
      </c>
      <c r="G19" s="9">
        <f>ROUND(E19*F19,2)</f>
        <v>1.01</v>
      </c>
    </row>
    <row r="20" spans="2:7" hidden="1" x14ac:dyDescent="0.25">
      <c r="B20" s="7" t="s">
        <v>84</v>
      </c>
      <c r="C20" s="5" t="s">
        <v>80</v>
      </c>
      <c r="D20" s="15" t="s">
        <v>87</v>
      </c>
      <c r="E20" s="1">
        <v>0.5</v>
      </c>
      <c r="F20" s="1">
        <v>4.05</v>
      </c>
      <c r="G20" s="9">
        <f>ROUND(E20*F20,2)</f>
        <v>2.0299999999999998</v>
      </c>
    </row>
    <row r="21" spans="2:7" hidden="1" x14ac:dyDescent="0.25">
      <c r="B21" s="6" t="s">
        <v>85</v>
      </c>
      <c r="C21" s="5" t="s">
        <v>81</v>
      </c>
      <c r="D21" s="15" t="s">
        <v>87</v>
      </c>
      <c r="E21" s="1">
        <v>0.5</v>
      </c>
      <c r="F21" s="1">
        <v>1.83</v>
      </c>
      <c r="G21" s="9">
        <f>ROUND(E21*F21,2)</f>
        <v>0.92</v>
      </c>
    </row>
    <row r="22" spans="2:7" ht="15.75" hidden="1" thickBot="1" x14ac:dyDescent="0.3">
      <c r="B22" s="6" t="s">
        <v>86</v>
      </c>
      <c r="C22" s="4" t="s">
        <v>82</v>
      </c>
      <c r="D22" s="15" t="s">
        <v>87</v>
      </c>
      <c r="E22" s="1">
        <v>0.25</v>
      </c>
      <c r="F22" s="1">
        <v>2.0099999999999998</v>
      </c>
      <c r="G22" s="9">
        <f>ROUND(E22*F22,2)</f>
        <v>0.5</v>
      </c>
    </row>
    <row r="23" spans="2:7" hidden="1" x14ac:dyDescent="0.25">
      <c r="B23" s="16" t="s">
        <v>41</v>
      </c>
      <c r="C23" s="24" t="s">
        <v>42</v>
      </c>
      <c r="D23" s="17" t="s">
        <v>43</v>
      </c>
      <c r="E23" s="17" t="s">
        <v>44</v>
      </c>
      <c r="F23" s="20" t="s">
        <v>45</v>
      </c>
      <c r="G23" s="22" t="s">
        <v>46</v>
      </c>
    </row>
    <row r="24" spans="2:7" ht="15.75" hidden="1" thickBot="1" x14ac:dyDescent="0.3">
      <c r="B24" s="18">
        <v>0</v>
      </c>
      <c r="C24" s="19">
        <f>G18</f>
        <v>302.57</v>
      </c>
      <c r="D24" s="19">
        <f>SUM(G19:G20)</f>
        <v>3.04</v>
      </c>
      <c r="E24" s="19">
        <f>SUM(G21:G22)</f>
        <v>1.42</v>
      </c>
      <c r="F24" s="21">
        <v>0</v>
      </c>
      <c r="G24" s="23">
        <f>SUM(G18:G22)</f>
        <v>307.02999999999997</v>
      </c>
    </row>
    <row r="25" spans="2:7" hidden="1" x14ac:dyDescent="0.25"/>
    <row r="26" spans="2:7" hidden="1" x14ac:dyDescent="0.25"/>
    <row r="30" spans="2:7" ht="15.75" thickBot="1" x14ac:dyDescent="0.3"/>
    <row r="31" spans="2:7" ht="16.5" thickBot="1" x14ac:dyDescent="0.3">
      <c r="B31" s="383" t="s">
        <v>60</v>
      </c>
      <c r="C31" s="384"/>
      <c r="D31" s="384"/>
      <c r="E31" s="384"/>
      <c r="F31" s="384"/>
      <c r="G31" s="385"/>
    </row>
    <row r="32" spans="2:7" ht="65.25" customHeight="1" thickBot="1" x14ac:dyDescent="0.3">
      <c r="B32" s="380" t="s">
        <v>180</v>
      </c>
      <c r="C32" s="381"/>
      <c r="D32" s="381"/>
      <c r="E32" s="381"/>
      <c r="F32" s="381"/>
      <c r="G32" s="382"/>
    </row>
    <row r="33" spans="2:8" ht="15.75" thickBot="1" x14ac:dyDescent="0.3">
      <c r="B33" s="12" t="s">
        <v>34</v>
      </c>
      <c r="C33" s="13" t="s">
        <v>28</v>
      </c>
      <c r="D33" s="71" t="s">
        <v>29</v>
      </c>
      <c r="E33" s="71" t="s">
        <v>30</v>
      </c>
      <c r="F33" s="71" t="s">
        <v>31</v>
      </c>
      <c r="G33" s="72" t="s">
        <v>32</v>
      </c>
    </row>
    <row r="34" spans="2:8" x14ac:dyDescent="0.25">
      <c r="B34" s="10" t="s">
        <v>190</v>
      </c>
      <c r="C34" s="11" t="s">
        <v>238</v>
      </c>
      <c r="D34" s="70" t="s">
        <v>29</v>
      </c>
      <c r="E34" s="61">
        <v>1</v>
      </c>
      <c r="F34" s="85">
        <v>179.52</v>
      </c>
      <c r="G34" s="86">
        <f>E34*F34</f>
        <v>179.52</v>
      </c>
      <c r="H34" s="1">
        <v>10.63</v>
      </c>
    </row>
    <row r="35" spans="2:8" x14ac:dyDescent="0.25">
      <c r="B35" s="7" t="s">
        <v>196</v>
      </c>
      <c r="C35" s="5" t="s">
        <v>221</v>
      </c>
      <c r="D35" s="15" t="s">
        <v>87</v>
      </c>
      <c r="E35" s="2">
        <v>3</v>
      </c>
      <c r="F35" s="85">
        <f>H35*0.97</f>
        <v>7.6435999999999993</v>
      </c>
      <c r="G35" s="86">
        <f>ROUND(E35*F35,2)</f>
        <v>22.93</v>
      </c>
      <c r="H35" s="1">
        <v>7.88</v>
      </c>
    </row>
    <row r="36" spans="2:8" x14ac:dyDescent="0.25">
      <c r="B36" s="93" t="s">
        <v>191</v>
      </c>
      <c r="C36" s="5" t="s">
        <v>193</v>
      </c>
      <c r="D36" s="15" t="s">
        <v>87</v>
      </c>
      <c r="E36" s="1">
        <v>1</v>
      </c>
      <c r="F36" s="61">
        <v>5.0599999999999996</v>
      </c>
      <c r="G36" s="9">
        <f>ROUND(E36*F36,2)</f>
        <v>5.0599999999999996</v>
      </c>
      <c r="H36" s="1">
        <v>1.83</v>
      </c>
    </row>
    <row r="37" spans="2:8" ht="15.75" thickBot="1" x14ac:dyDescent="0.3">
      <c r="B37" s="92" t="s">
        <v>192</v>
      </c>
      <c r="C37" s="5" t="s">
        <v>194</v>
      </c>
      <c r="D37" s="15" t="s">
        <v>87</v>
      </c>
      <c r="E37" s="1">
        <v>3</v>
      </c>
      <c r="F37" s="61">
        <v>3.41</v>
      </c>
      <c r="G37" s="9">
        <f>ROUND(E37*F37,2)</f>
        <v>10.23</v>
      </c>
      <c r="H37" s="1">
        <v>1.78</v>
      </c>
    </row>
    <row r="38" spans="2:8" x14ac:dyDescent="0.25">
      <c r="B38" s="16" t="s">
        <v>41</v>
      </c>
      <c r="C38" s="24" t="s">
        <v>42</v>
      </c>
      <c r="D38" s="17" t="s">
        <v>43</v>
      </c>
      <c r="E38" s="17" t="s">
        <v>44</v>
      </c>
      <c r="F38" s="20" t="s">
        <v>45</v>
      </c>
      <c r="G38" s="22" t="s">
        <v>46</v>
      </c>
    </row>
    <row r="39" spans="2:8" ht="15.75" thickBot="1" x14ac:dyDescent="0.3">
      <c r="B39" s="18">
        <v>0</v>
      </c>
      <c r="C39" s="94">
        <f>G34</f>
        <v>179.52</v>
      </c>
      <c r="D39" s="94">
        <f>G35+G36+G37</f>
        <v>38.22</v>
      </c>
      <c r="E39" s="19">
        <f>SUM(G36:G37)</f>
        <v>15.29</v>
      </c>
      <c r="F39" s="21">
        <v>0</v>
      </c>
      <c r="G39" s="87">
        <f>SUM(G34:G37)+0.01</f>
        <v>217.75</v>
      </c>
    </row>
  </sheetData>
  <mergeCells count="6">
    <mergeCell ref="B32:G32"/>
    <mergeCell ref="B3:G3"/>
    <mergeCell ref="B4:G4"/>
    <mergeCell ref="B15:G15"/>
    <mergeCell ref="B16:G16"/>
    <mergeCell ref="B31:G31"/>
  </mergeCells>
  <pageMargins left="1.1811023622047245" right="0.78740157480314965" top="0.78740157480314965" bottom="0.78740157480314965" header="0" footer="0"/>
  <pageSetup paperSize="9" scale="75" orientation="portrait" verticalDpi="300"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43"/>
  <dimension ref="B2:H39"/>
  <sheetViews>
    <sheetView view="pageBreakPreview" zoomScaleNormal="100" zoomScaleSheetLayoutView="100" workbookViewId="0">
      <selection activeCell="B34" sqref="B34:G39"/>
    </sheetView>
  </sheetViews>
  <sheetFormatPr defaultRowHeight="15" x14ac:dyDescent="0.25"/>
  <cols>
    <col min="2" max="2" width="12.85546875" bestFit="1" customWidth="1"/>
    <col min="3" max="3" width="44.85546875" customWidth="1"/>
    <col min="4" max="4" width="12.7109375" bestFit="1" customWidth="1"/>
    <col min="5" max="5" width="10.140625" bestFit="1" customWidth="1"/>
    <col min="6" max="6" width="10.28515625" bestFit="1" customWidth="1"/>
    <col min="7" max="7" width="15.5703125" bestFit="1" customWidth="1"/>
    <col min="8" max="8" width="0" hidden="1" customWidth="1"/>
  </cols>
  <sheetData>
    <row r="2" spans="2:7" ht="15.75" hidden="1" thickBot="1" x14ac:dyDescent="0.3"/>
    <row r="3" spans="2:7" ht="16.5" hidden="1" thickBot="1" x14ac:dyDescent="0.3">
      <c r="B3" s="383" t="s">
        <v>60</v>
      </c>
      <c r="C3" s="384"/>
      <c r="D3" s="384"/>
      <c r="E3" s="384"/>
      <c r="F3" s="384"/>
      <c r="G3" s="385"/>
    </row>
    <row r="4" spans="2:7" ht="60" hidden="1" customHeight="1" thickBot="1" x14ac:dyDescent="0.3">
      <c r="B4" s="380" t="s">
        <v>78</v>
      </c>
      <c r="C4" s="381"/>
      <c r="D4" s="381"/>
      <c r="E4" s="381"/>
      <c r="F4" s="381"/>
      <c r="G4" s="382"/>
    </row>
    <row r="5" spans="2:7" ht="15.75" hidden="1" thickBot="1" x14ac:dyDescent="0.3">
      <c r="B5" s="12" t="s">
        <v>34</v>
      </c>
      <c r="C5" s="13" t="s">
        <v>28</v>
      </c>
      <c r="D5" s="71" t="s">
        <v>29</v>
      </c>
      <c r="E5" s="71" t="s">
        <v>30</v>
      </c>
      <c r="F5" s="71" t="s">
        <v>31</v>
      </c>
      <c r="G5" s="72" t="s">
        <v>32</v>
      </c>
    </row>
    <row r="6" spans="2:7" hidden="1" x14ac:dyDescent="0.25">
      <c r="B6" s="10" t="s">
        <v>0</v>
      </c>
      <c r="C6" s="11" t="s">
        <v>88</v>
      </c>
      <c r="D6" s="70" t="s">
        <v>29</v>
      </c>
      <c r="E6" s="8">
        <v>1</v>
      </c>
      <c r="F6" s="8">
        <v>107.5</v>
      </c>
      <c r="G6" s="9">
        <v>107.5</v>
      </c>
    </row>
    <row r="7" spans="2:7" hidden="1" x14ac:dyDescent="0.25">
      <c r="B7" s="6" t="s">
        <v>83</v>
      </c>
      <c r="C7" s="5" t="s">
        <v>79</v>
      </c>
      <c r="D7" s="15" t="s">
        <v>87</v>
      </c>
      <c r="E7" s="1">
        <v>0.25</v>
      </c>
      <c r="F7" s="1">
        <v>4.05</v>
      </c>
      <c r="G7" s="9">
        <f>ROUND(E7*F7,2)</f>
        <v>1.01</v>
      </c>
    </row>
    <row r="8" spans="2:7" hidden="1" x14ac:dyDescent="0.25">
      <c r="B8" s="7" t="s">
        <v>84</v>
      </c>
      <c r="C8" s="5" t="s">
        <v>80</v>
      </c>
      <c r="D8" s="15" t="s">
        <v>87</v>
      </c>
      <c r="E8" s="1">
        <v>0.5</v>
      </c>
      <c r="F8" s="1">
        <v>4.05</v>
      </c>
      <c r="G8" s="9">
        <f>ROUND(E8*F8,2)</f>
        <v>2.0299999999999998</v>
      </c>
    </row>
    <row r="9" spans="2:7" hidden="1" x14ac:dyDescent="0.25">
      <c r="B9" s="6" t="s">
        <v>85</v>
      </c>
      <c r="C9" s="5" t="s">
        <v>81</v>
      </c>
      <c r="D9" s="15" t="s">
        <v>87</v>
      </c>
      <c r="E9" s="1">
        <v>0.5</v>
      </c>
      <c r="F9" s="1">
        <v>1.83</v>
      </c>
      <c r="G9" s="9">
        <f>ROUND(E9*F9,2)</f>
        <v>0.92</v>
      </c>
    </row>
    <row r="10" spans="2:7" ht="15.75" hidden="1" thickBot="1" x14ac:dyDescent="0.3">
      <c r="B10" s="6" t="s">
        <v>86</v>
      </c>
      <c r="C10" s="4" t="s">
        <v>82</v>
      </c>
      <c r="D10" s="15" t="s">
        <v>87</v>
      </c>
      <c r="E10" s="1">
        <v>0.25</v>
      </c>
      <c r="F10" s="1">
        <v>2.0099999999999998</v>
      </c>
      <c r="G10" s="9">
        <f>ROUND(E10*F10,2)</f>
        <v>0.5</v>
      </c>
    </row>
    <row r="11" spans="2:7" hidden="1" x14ac:dyDescent="0.25">
      <c r="B11" s="16" t="s">
        <v>41</v>
      </c>
      <c r="C11" s="24" t="s">
        <v>42</v>
      </c>
      <c r="D11" s="17" t="s">
        <v>43</v>
      </c>
      <c r="E11" s="17" t="s">
        <v>44</v>
      </c>
      <c r="F11" s="20" t="s">
        <v>45</v>
      </c>
      <c r="G11" s="22" t="s">
        <v>46</v>
      </c>
    </row>
    <row r="12" spans="2:7" ht="15.75" hidden="1" thickBot="1" x14ac:dyDescent="0.3">
      <c r="B12" s="18">
        <v>0</v>
      </c>
      <c r="C12" s="19">
        <f>G6</f>
        <v>107.5</v>
      </c>
      <c r="D12" s="19">
        <f>SUM(G7:G8)</f>
        <v>3.04</v>
      </c>
      <c r="E12" s="19">
        <f>SUM(G9:G10)</f>
        <v>1.42</v>
      </c>
      <c r="F12" s="21">
        <v>0</v>
      </c>
      <c r="G12" s="23">
        <f>SUM(G6:G10)</f>
        <v>111.96000000000001</v>
      </c>
    </row>
    <row r="13" spans="2:7" hidden="1" x14ac:dyDescent="0.25"/>
    <row r="14" spans="2:7" ht="15.75" hidden="1" thickBot="1" x14ac:dyDescent="0.3"/>
    <row r="15" spans="2:7" ht="16.5" hidden="1" thickBot="1" x14ac:dyDescent="0.3">
      <c r="B15" s="383" t="s">
        <v>60</v>
      </c>
      <c r="C15" s="384"/>
      <c r="D15" s="384"/>
      <c r="E15" s="384"/>
      <c r="F15" s="384"/>
      <c r="G15" s="385"/>
    </row>
    <row r="16" spans="2:7" ht="61.5" hidden="1" customHeight="1" thickBot="1" x14ac:dyDescent="0.3">
      <c r="B16" s="380" t="s">
        <v>89</v>
      </c>
      <c r="C16" s="381"/>
      <c r="D16" s="381"/>
      <c r="E16" s="381"/>
      <c r="F16" s="381"/>
      <c r="G16" s="382"/>
    </row>
    <row r="17" spans="2:7" ht="15.75" hidden="1" thickBot="1" x14ac:dyDescent="0.3">
      <c r="B17" s="12" t="s">
        <v>34</v>
      </c>
      <c r="C17" s="13" t="s">
        <v>28</v>
      </c>
      <c r="D17" s="71" t="s">
        <v>29</v>
      </c>
      <c r="E17" s="71" t="s">
        <v>30</v>
      </c>
      <c r="F17" s="71" t="s">
        <v>31</v>
      </c>
      <c r="G17" s="72" t="s">
        <v>32</v>
      </c>
    </row>
    <row r="18" spans="2:7" ht="15.75" hidden="1" customHeight="1" x14ac:dyDescent="0.25">
      <c r="B18" s="10" t="s">
        <v>0</v>
      </c>
      <c r="C18" s="11" t="s">
        <v>90</v>
      </c>
      <c r="D18" s="70" t="s">
        <v>29</v>
      </c>
      <c r="E18" s="8">
        <v>1</v>
      </c>
      <c r="F18" s="8">
        <v>107.5</v>
      </c>
      <c r="G18" s="9">
        <v>302.57</v>
      </c>
    </row>
    <row r="19" spans="2:7" hidden="1" x14ac:dyDescent="0.25">
      <c r="B19" s="6" t="s">
        <v>83</v>
      </c>
      <c r="C19" s="5" t="s">
        <v>79</v>
      </c>
      <c r="D19" s="15" t="s">
        <v>87</v>
      </c>
      <c r="E19" s="1">
        <v>0.25</v>
      </c>
      <c r="F19" s="1">
        <v>4.05</v>
      </c>
      <c r="G19" s="9">
        <f>ROUND(E19*F19,2)</f>
        <v>1.01</v>
      </c>
    </row>
    <row r="20" spans="2:7" hidden="1" x14ac:dyDescent="0.25">
      <c r="B20" s="7" t="s">
        <v>84</v>
      </c>
      <c r="C20" s="5" t="s">
        <v>80</v>
      </c>
      <c r="D20" s="15" t="s">
        <v>87</v>
      </c>
      <c r="E20" s="1">
        <v>0.5</v>
      </c>
      <c r="F20" s="1">
        <v>4.05</v>
      </c>
      <c r="G20" s="9">
        <f>ROUND(E20*F20,2)</f>
        <v>2.0299999999999998</v>
      </c>
    </row>
    <row r="21" spans="2:7" hidden="1" x14ac:dyDescent="0.25">
      <c r="B21" s="6" t="s">
        <v>85</v>
      </c>
      <c r="C21" s="5" t="s">
        <v>81</v>
      </c>
      <c r="D21" s="15" t="s">
        <v>87</v>
      </c>
      <c r="E21" s="1">
        <v>0.5</v>
      </c>
      <c r="F21" s="1">
        <v>1.83</v>
      </c>
      <c r="G21" s="9">
        <f>ROUND(E21*F21,2)</f>
        <v>0.92</v>
      </c>
    </row>
    <row r="22" spans="2:7" ht="15.75" hidden="1" thickBot="1" x14ac:dyDescent="0.3">
      <c r="B22" s="6" t="s">
        <v>86</v>
      </c>
      <c r="C22" s="4" t="s">
        <v>82</v>
      </c>
      <c r="D22" s="15" t="s">
        <v>87</v>
      </c>
      <c r="E22" s="1">
        <v>0.25</v>
      </c>
      <c r="F22" s="1">
        <v>2.0099999999999998</v>
      </c>
      <c r="G22" s="9">
        <f>ROUND(E22*F22,2)</f>
        <v>0.5</v>
      </c>
    </row>
    <row r="23" spans="2:7" hidden="1" x14ac:dyDescent="0.25">
      <c r="B23" s="16" t="s">
        <v>41</v>
      </c>
      <c r="C23" s="24" t="s">
        <v>42</v>
      </c>
      <c r="D23" s="17" t="s">
        <v>43</v>
      </c>
      <c r="E23" s="17" t="s">
        <v>44</v>
      </c>
      <c r="F23" s="20" t="s">
        <v>45</v>
      </c>
      <c r="G23" s="22" t="s">
        <v>46</v>
      </c>
    </row>
    <row r="24" spans="2:7" ht="15.75" hidden="1" thickBot="1" x14ac:dyDescent="0.3">
      <c r="B24" s="18">
        <v>0</v>
      </c>
      <c r="C24" s="19">
        <f>G18</f>
        <v>302.57</v>
      </c>
      <c r="D24" s="19">
        <f>SUM(G19:G20)</f>
        <v>3.04</v>
      </c>
      <c r="E24" s="19">
        <f>SUM(G21:G22)</f>
        <v>1.42</v>
      </c>
      <c r="F24" s="21">
        <v>0</v>
      </c>
      <c r="G24" s="23">
        <f>SUM(G18:G22)</f>
        <v>307.02999999999997</v>
      </c>
    </row>
    <row r="25" spans="2:7" hidden="1" x14ac:dyDescent="0.25"/>
    <row r="30" spans="2:7" ht="15.75" thickBot="1" x14ac:dyDescent="0.3"/>
    <row r="31" spans="2:7" ht="16.5" thickBot="1" x14ac:dyDescent="0.3">
      <c r="B31" s="383" t="s">
        <v>60</v>
      </c>
      <c r="C31" s="384"/>
      <c r="D31" s="384"/>
      <c r="E31" s="384"/>
      <c r="F31" s="384"/>
      <c r="G31" s="385"/>
    </row>
    <row r="32" spans="2:7" ht="65.25" customHeight="1" thickBot="1" x14ac:dyDescent="0.3">
      <c r="B32" s="380" t="s">
        <v>181</v>
      </c>
      <c r="C32" s="381"/>
      <c r="D32" s="381"/>
      <c r="E32" s="381"/>
      <c r="F32" s="381"/>
      <c r="G32" s="382"/>
    </row>
    <row r="33" spans="2:8" ht="15.75" thickBot="1" x14ac:dyDescent="0.3">
      <c r="B33" s="12" t="s">
        <v>34</v>
      </c>
      <c r="C33" s="13" t="s">
        <v>28</v>
      </c>
      <c r="D33" s="71" t="s">
        <v>29</v>
      </c>
      <c r="E33" s="71" t="s">
        <v>30</v>
      </c>
      <c r="F33" s="71" t="s">
        <v>31</v>
      </c>
      <c r="G33" s="72" t="s">
        <v>32</v>
      </c>
    </row>
    <row r="34" spans="2:8" x14ac:dyDescent="0.25">
      <c r="B34" s="10" t="s">
        <v>190</v>
      </c>
      <c r="C34" s="11" t="s">
        <v>239</v>
      </c>
      <c r="D34" s="70" t="s">
        <v>234</v>
      </c>
      <c r="E34" s="61">
        <v>1</v>
      </c>
      <c r="F34" s="85">
        <v>12.07</v>
      </c>
      <c r="G34" s="86">
        <f>E34*F34</f>
        <v>12.07</v>
      </c>
      <c r="H34" s="1">
        <v>10.63</v>
      </c>
    </row>
    <row r="35" spans="2:8" x14ac:dyDescent="0.25">
      <c r="B35" s="7" t="s">
        <v>196</v>
      </c>
      <c r="C35" s="5" t="s">
        <v>221</v>
      </c>
      <c r="D35" s="15" t="s">
        <v>87</v>
      </c>
      <c r="E35" s="2">
        <v>1</v>
      </c>
      <c r="F35" s="85">
        <f>H35*0.97</f>
        <v>7.6435999999999993</v>
      </c>
      <c r="G35" s="86">
        <f>ROUND(E35*F35,2)</f>
        <v>7.64</v>
      </c>
      <c r="H35" s="1">
        <v>7.88</v>
      </c>
    </row>
    <row r="36" spans="2:8" x14ac:dyDescent="0.25">
      <c r="B36" s="93" t="s">
        <v>191</v>
      </c>
      <c r="C36" s="5" t="s">
        <v>193</v>
      </c>
      <c r="D36" s="15" t="s">
        <v>87</v>
      </c>
      <c r="E36" s="1">
        <v>0.05</v>
      </c>
      <c r="F36" s="61">
        <v>5.0599999999999996</v>
      </c>
      <c r="G36" s="9">
        <f>ROUND(E36*F36,2)</f>
        <v>0.25</v>
      </c>
      <c r="H36" s="1">
        <v>1.83</v>
      </c>
    </row>
    <row r="37" spans="2:8" ht="15.75" thickBot="1" x14ac:dyDescent="0.3">
      <c r="B37" s="92" t="s">
        <v>192</v>
      </c>
      <c r="C37" s="5" t="s">
        <v>194</v>
      </c>
      <c r="D37" s="15" t="s">
        <v>87</v>
      </c>
      <c r="E37" s="1">
        <v>1</v>
      </c>
      <c r="F37" s="61">
        <v>3.41</v>
      </c>
      <c r="G37" s="9">
        <f>ROUND(E37*F37,2)</f>
        <v>3.41</v>
      </c>
      <c r="H37" s="1">
        <v>1.78</v>
      </c>
    </row>
    <row r="38" spans="2:8" x14ac:dyDescent="0.25">
      <c r="B38" s="16" t="s">
        <v>41</v>
      </c>
      <c r="C38" s="24" t="s">
        <v>42</v>
      </c>
      <c r="D38" s="17" t="s">
        <v>43</v>
      </c>
      <c r="E38" s="17" t="s">
        <v>44</v>
      </c>
      <c r="F38" s="20" t="s">
        <v>45</v>
      </c>
      <c r="G38" s="22" t="s">
        <v>46</v>
      </c>
    </row>
    <row r="39" spans="2:8" ht="15.75" thickBot="1" x14ac:dyDescent="0.3">
      <c r="B39" s="18">
        <v>0</v>
      </c>
      <c r="C39" s="94">
        <f>G34</f>
        <v>12.07</v>
      </c>
      <c r="D39" s="94">
        <f>G35+G36+G37</f>
        <v>11.3</v>
      </c>
      <c r="E39" s="19">
        <f>SUM(G36:G37)</f>
        <v>3.66</v>
      </c>
      <c r="F39" s="21">
        <v>0</v>
      </c>
      <c r="G39" s="87">
        <f>SUM(G34:G37)+0.01</f>
        <v>23.380000000000003</v>
      </c>
    </row>
  </sheetData>
  <mergeCells count="6">
    <mergeCell ref="B32:G32"/>
    <mergeCell ref="B3:G3"/>
    <mergeCell ref="B4:G4"/>
    <mergeCell ref="B15:G15"/>
    <mergeCell ref="B16:G16"/>
    <mergeCell ref="B31:G31"/>
  </mergeCells>
  <pageMargins left="1.1811023622047245" right="0.78740157480314965" top="0.78740157480314965" bottom="0.78740157480314965" header="0" footer="0"/>
  <pageSetup paperSize="9" scale="75" orientation="portrait" verticalDpi="300"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44"/>
  <dimension ref="B2:H39"/>
  <sheetViews>
    <sheetView view="pageBreakPreview" zoomScaleNormal="100" zoomScaleSheetLayoutView="100" workbookViewId="0">
      <selection activeCell="B34" sqref="B34:G39"/>
    </sheetView>
  </sheetViews>
  <sheetFormatPr defaultRowHeight="15" x14ac:dyDescent="0.25"/>
  <cols>
    <col min="2" max="2" width="12.85546875" bestFit="1" customWidth="1"/>
    <col min="3" max="3" width="44.85546875" customWidth="1"/>
    <col min="4" max="4" width="12.7109375" bestFit="1" customWidth="1"/>
    <col min="5" max="5" width="10.140625" bestFit="1" customWidth="1"/>
    <col min="6" max="6" width="10.28515625" bestFit="1" customWidth="1"/>
    <col min="7" max="7" width="15.5703125" bestFit="1" customWidth="1"/>
    <col min="8" max="8" width="0" hidden="1" customWidth="1"/>
  </cols>
  <sheetData>
    <row r="2" spans="2:7" ht="15.75" hidden="1" thickBot="1" x14ac:dyDescent="0.3"/>
    <row r="3" spans="2:7" ht="16.5" hidden="1" thickBot="1" x14ac:dyDescent="0.3">
      <c r="B3" s="383" t="s">
        <v>60</v>
      </c>
      <c r="C3" s="384"/>
      <c r="D3" s="384"/>
      <c r="E3" s="384"/>
      <c r="F3" s="384"/>
      <c r="G3" s="385"/>
    </row>
    <row r="4" spans="2:7" ht="60" hidden="1" customHeight="1" thickBot="1" x14ac:dyDescent="0.3">
      <c r="B4" s="380" t="s">
        <v>78</v>
      </c>
      <c r="C4" s="381"/>
      <c r="D4" s="381"/>
      <c r="E4" s="381"/>
      <c r="F4" s="381"/>
      <c r="G4" s="382"/>
    </row>
    <row r="5" spans="2:7" ht="15.75" hidden="1" thickBot="1" x14ac:dyDescent="0.3">
      <c r="B5" s="12" t="s">
        <v>34</v>
      </c>
      <c r="C5" s="13" t="s">
        <v>28</v>
      </c>
      <c r="D5" s="71" t="s">
        <v>29</v>
      </c>
      <c r="E5" s="71" t="s">
        <v>30</v>
      </c>
      <c r="F5" s="71" t="s">
        <v>31</v>
      </c>
      <c r="G5" s="72" t="s">
        <v>32</v>
      </c>
    </row>
    <row r="6" spans="2:7" hidden="1" x14ac:dyDescent="0.25">
      <c r="B6" s="10" t="s">
        <v>0</v>
      </c>
      <c r="C6" s="11" t="s">
        <v>88</v>
      </c>
      <c r="D6" s="70" t="s">
        <v>29</v>
      </c>
      <c r="E6" s="8">
        <v>1</v>
      </c>
      <c r="F6" s="8">
        <v>107.5</v>
      </c>
      <c r="G6" s="9">
        <v>107.5</v>
      </c>
    </row>
    <row r="7" spans="2:7" hidden="1" x14ac:dyDescent="0.25">
      <c r="B7" s="6" t="s">
        <v>83</v>
      </c>
      <c r="C7" s="5" t="s">
        <v>79</v>
      </c>
      <c r="D7" s="15" t="s">
        <v>87</v>
      </c>
      <c r="E7" s="1">
        <v>0.25</v>
      </c>
      <c r="F7" s="1">
        <v>4.05</v>
      </c>
      <c r="G7" s="9">
        <f>ROUND(E7*F7,2)</f>
        <v>1.01</v>
      </c>
    </row>
    <row r="8" spans="2:7" hidden="1" x14ac:dyDescent="0.25">
      <c r="B8" s="7" t="s">
        <v>84</v>
      </c>
      <c r="C8" s="5" t="s">
        <v>80</v>
      </c>
      <c r="D8" s="15" t="s">
        <v>87</v>
      </c>
      <c r="E8" s="1">
        <v>0.5</v>
      </c>
      <c r="F8" s="1">
        <v>4.05</v>
      </c>
      <c r="G8" s="9">
        <f>ROUND(E8*F8,2)</f>
        <v>2.0299999999999998</v>
      </c>
    </row>
    <row r="9" spans="2:7" hidden="1" x14ac:dyDescent="0.25">
      <c r="B9" s="6" t="s">
        <v>85</v>
      </c>
      <c r="C9" s="5" t="s">
        <v>81</v>
      </c>
      <c r="D9" s="15" t="s">
        <v>87</v>
      </c>
      <c r="E9" s="1">
        <v>0.5</v>
      </c>
      <c r="F9" s="1">
        <v>1.83</v>
      </c>
      <c r="G9" s="9">
        <f>ROUND(E9*F9,2)</f>
        <v>0.92</v>
      </c>
    </row>
    <row r="10" spans="2:7" ht="15.75" hidden="1" thickBot="1" x14ac:dyDescent="0.3">
      <c r="B10" s="6" t="s">
        <v>86</v>
      </c>
      <c r="C10" s="4" t="s">
        <v>82</v>
      </c>
      <c r="D10" s="15" t="s">
        <v>87</v>
      </c>
      <c r="E10" s="1">
        <v>0.25</v>
      </c>
      <c r="F10" s="1">
        <v>2.0099999999999998</v>
      </c>
      <c r="G10" s="9">
        <f>ROUND(E10*F10,2)</f>
        <v>0.5</v>
      </c>
    </row>
    <row r="11" spans="2:7" hidden="1" x14ac:dyDescent="0.25">
      <c r="B11" s="16" t="s">
        <v>41</v>
      </c>
      <c r="C11" s="24" t="s">
        <v>42</v>
      </c>
      <c r="D11" s="17" t="s">
        <v>43</v>
      </c>
      <c r="E11" s="17" t="s">
        <v>44</v>
      </c>
      <c r="F11" s="20" t="s">
        <v>45</v>
      </c>
      <c r="G11" s="22" t="s">
        <v>46</v>
      </c>
    </row>
    <row r="12" spans="2:7" ht="15.75" hidden="1" thickBot="1" x14ac:dyDescent="0.3">
      <c r="B12" s="18">
        <v>0</v>
      </c>
      <c r="C12" s="19">
        <f>G6</f>
        <v>107.5</v>
      </c>
      <c r="D12" s="19">
        <f>SUM(G7:G8)</f>
        <v>3.04</v>
      </c>
      <c r="E12" s="19">
        <f>SUM(G9:G10)</f>
        <v>1.42</v>
      </c>
      <c r="F12" s="21">
        <v>0</v>
      </c>
      <c r="G12" s="23">
        <f>SUM(G6:G10)</f>
        <v>111.96000000000001</v>
      </c>
    </row>
    <row r="13" spans="2:7" hidden="1" x14ac:dyDescent="0.25"/>
    <row r="14" spans="2:7" ht="15.75" hidden="1" thickBot="1" x14ac:dyDescent="0.3"/>
    <row r="15" spans="2:7" ht="16.5" hidden="1" thickBot="1" x14ac:dyDescent="0.3">
      <c r="B15" s="383" t="s">
        <v>60</v>
      </c>
      <c r="C15" s="384"/>
      <c r="D15" s="384"/>
      <c r="E15" s="384"/>
      <c r="F15" s="384"/>
      <c r="G15" s="385"/>
    </row>
    <row r="16" spans="2:7" ht="61.5" hidden="1" customHeight="1" thickBot="1" x14ac:dyDescent="0.3">
      <c r="B16" s="380" t="s">
        <v>89</v>
      </c>
      <c r="C16" s="381"/>
      <c r="D16" s="381"/>
      <c r="E16" s="381"/>
      <c r="F16" s="381"/>
      <c r="G16" s="382"/>
    </row>
    <row r="17" spans="2:7" ht="15.75" hidden="1" thickBot="1" x14ac:dyDescent="0.3">
      <c r="B17" s="12" t="s">
        <v>34</v>
      </c>
      <c r="C17" s="13" t="s">
        <v>28</v>
      </c>
      <c r="D17" s="71" t="s">
        <v>29</v>
      </c>
      <c r="E17" s="71" t="s">
        <v>30</v>
      </c>
      <c r="F17" s="71" t="s">
        <v>31</v>
      </c>
      <c r="G17" s="72" t="s">
        <v>32</v>
      </c>
    </row>
    <row r="18" spans="2:7" ht="15.75" hidden="1" customHeight="1" x14ac:dyDescent="0.25">
      <c r="B18" s="10" t="s">
        <v>0</v>
      </c>
      <c r="C18" s="11" t="s">
        <v>90</v>
      </c>
      <c r="D18" s="70" t="s">
        <v>29</v>
      </c>
      <c r="E18" s="8">
        <v>1</v>
      </c>
      <c r="F18" s="8">
        <v>107.5</v>
      </c>
      <c r="G18" s="9">
        <v>302.57</v>
      </c>
    </row>
    <row r="19" spans="2:7" hidden="1" x14ac:dyDescent="0.25">
      <c r="B19" s="6" t="s">
        <v>83</v>
      </c>
      <c r="C19" s="5" t="s">
        <v>79</v>
      </c>
      <c r="D19" s="15" t="s">
        <v>87</v>
      </c>
      <c r="E19" s="1">
        <v>0.25</v>
      </c>
      <c r="F19" s="1">
        <v>4.05</v>
      </c>
      <c r="G19" s="9">
        <f>ROUND(E19*F19,2)</f>
        <v>1.01</v>
      </c>
    </row>
    <row r="20" spans="2:7" hidden="1" x14ac:dyDescent="0.25">
      <c r="B20" s="7" t="s">
        <v>84</v>
      </c>
      <c r="C20" s="5" t="s">
        <v>80</v>
      </c>
      <c r="D20" s="15" t="s">
        <v>87</v>
      </c>
      <c r="E20" s="1">
        <v>0.5</v>
      </c>
      <c r="F20" s="1">
        <v>4.05</v>
      </c>
      <c r="G20" s="9">
        <f>ROUND(E20*F20,2)</f>
        <v>2.0299999999999998</v>
      </c>
    </row>
    <row r="21" spans="2:7" hidden="1" x14ac:dyDescent="0.25">
      <c r="B21" s="6" t="s">
        <v>85</v>
      </c>
      <c r="C21" s="5" t="s">
        <v>81</v>
      </c>
      <c r="D21" s="15" t="s">
        <v>87</v>
      </c>
      <c r="E21" s="1">
        <v>0.5</v>
      </c>
      <c r="F21" s="1">
        <v>1.83</v>
      </c>
      <c r="G21" s="9">
        <f>ROUND(E21*F21,2)</f>
        <v>0.92</v>
      </c>
    </row>
    <row r="22" spans="2:7" ht="15.75" hidden="1" thickBot="1" x14ac:dyDescent="0.3">
      <c r="B22" s="6" t="s">
        <v>86</v>
      </c>
      <c r="C22" s="4" t="s">
        <v>82</v>
      </c>
      <c r="D22" s="15" t="s">
        <v>87</v>
      </c>
      <c r="E22" s="1">
        <v>0.25</v>
      </c>
      <c r="F22" s="1">
        <v>2.0099999999999998</v>
      </c>
      <c r="G22" s="9">
        <f>ROUND(E22*F22,2)</f>
        <v>0.5</v>
      </c>
    </row>
    <row r="23" spans="2:7" hidden="1" x14ac:dyDescent="0.25">
      <c r="B23" s="16" t="s">
        <v>41</v>
      </c>
      <c r="C23" s="24" t="s">
        <v>42</v>
      </c>
      <c r="D23" s="17" t="s">
        <v>43</v>
      </c>
      <c r="E23" s="17" t="s">
        <v>44</v>
      </c>
      <c r="F23" s="20" t="s">
        <v>45</v>
      </c>
      <c r="G23" s="22" t="s">
        <v>46</v>
      </c>
    </row>
    <row r="24" spans="2:7" ht="15.75" hidden="1" thickBot="1" x14ac:dyDescent="0.3">
      <c r="B24" s="18">
        <v>0</v>
      </c>
      <c r="C24" s="19">
        <f>G18</f>
        <v>302.57</v>
      </c>
      <c r="D24" s="19">
        <f>SUM(G19:G20)</f>
        <v>3.04</v>
      </c>
      <c r="E24" s="19">
        <f>SUM(G21:G22)</f>
        <v>1.42</v>
      </c>
      <c r="F24" s="21">
        <v>0</v>
      </c>
      <c r="G24" s="23">
        <f>SUM(G18:G22)</f>
        <v>307.02999999999997</v>
      </c>
    </row>
    <row r="25" spans="2:7" hidden="1" x14ac:dyDescent="0.25"/>
    <row r="26" spans="2:7" hidden="1" x14ac:dyDescent="0.25"/>
    <row r="27" spans="2:7" hidden="1" x14ac:dyDescent="0.25"/>
    <row r="30" spans="2:7" ht="15.75" thickBot="1" x14ac:dyDescent="0.3"/>
    <row r="31" spans="2:7" ht="16.5" thickBot="1" x14ac:dyDescent="0.3">
      <c r="B31" s="383" t="s">
        <v>60</v>
      </c>
      <c r="C31" s="384"/>
      <c r="D31" s="384"/>
      <c r="E31" s="384"/>
      <c r="F31" s="384"/>
      <c r="G31" s="385"/>
    </row>
    <row r="32" spans="2:7" ht="65.25" customHeight="1" thickBot="1" x14ac:dyDescent="0.3">
      <c r="B32" s="380" t="s">
        <v>182</v>
      </c>
      <c r="C32" s="381"/>
      <c r="D32" s="381"/>
      <c r="E32" s="381"/>
      <c r="F32" s="381"/>
      <c r="G32" s="382"/>
    </row>
    <row r="33" spans="2:8" ht="15.75" thickBot="1" x14ac:dyDescent="0.3">
      <c r="B33" s="12" t="s">
        <v>34</v>
      </c>
      <c r="C33" s="13" t="s">
        <v>28</v>
      </c>
      <c r="D33" s="71" t="s">
        <v>29</v>
      </c>
      <c r="E33" s="71" t="s">
        <v>30</v>
      </c>
      <c r="F33" s="71" t="s">
        <v>31</v>
      </c>
      <c r="G33" s="72" t="s">
        <v>32</v>
      </c>
    </row>
    <row r="34" spans="2:8" x14ac:dyDescent="0.25">
      <c r="B34" s="10" t="s">
        <v>190</v>
      </c>
      <c r="C34" s="11" t="s">
        <v>240</v>
      </c>
      <c r="D34" s="70" t="s">
        <v>234</v>
      </c>
      <c r="E34" s="61">
        <v>1</v>
      </c>
      <c r="F34" s="85">
        <v>18.32</v>
      </c>
      <c r="G34" s="86">
        <f>E34*F34</f>
        <v>18.32</v>
      </c>
      <c r="H34" s="1">
        <v>10.63</v>
      </c>
    </row>
    <row r="35" spans="2:8" x14ac:dyDescent="0.25">
      <c r="B35" s="7" t="s">
        <v>196</v>
      </c>
      <c r="C35" s="5" t="s">
        <v>221</v>
      </c>
      <c r="D35" s="15" t="s">
        <v>87</v>
      </c>
      <c r="E35" s="2">
        <v>1</v>
      </c>
      <c r="F35" s="85">
        <f>H35*0.97</f>
        <v>7.6435999999999993</v>
      </c>
      <c r="G35" s="86">
        <f>ROUND(E35*F35,2)</f>
        <v>7.64</v>
      </c>
      <c r="H35" s="1">
        <v>7.88</v>
      </c>
    </row>
    <row r="36" spans="2:8" x14ac:dyDescent="0.25">
      <c r="B36" s="93" t="s">
        <v>191</v>
      </c>
      <c r="C36" s="5" t="s">
        <v>193</v>
      </c>
      <c r="D36" s="15" t="s">
        <v>87</v>
      </c>
      <c r="E36" s="1">
        <v>0.05</v>
      </c>
      <c r="F36" s="61">
        <v>5.0599999999999996</v>
      </c>
      <c r="G36" s="9">
        <f>ROUND(E36*F36,2)</f>
        <v>0.25</v>
      </c>
      <c r="H36" s="1">
        <v>1.83</v>
      </c>
    </row>
    <row r="37" spans="2:8" ht="15.75" thickBot="1" x14ac:dyDescent="0.3">
      <c r="B37" s="92" t="s">
        <v>192</v>
      </c>
      <c r="C37" s="5" t="s">
        <v>194</v>
      </c>
      <c r="D37" s="15" t="s">
        <v>87</v>
      </c>
      <c r="E37" s="1">
        <v>1</v>
      </c>
      <c r="F37" s="61">
        <v>3.41</v>
      </c>
      <c r="G37" s="9">
        <f>ROUND(E37*F37,2)</f>
        <v>3.41</v>
      </c>
      <c r="H37" s="1">
        <v>1.78</v>
      </c>
    </row>
    <row r="38" spans="2:8" x14ac:dyDescent="0.25">
      <c r="B38" s="16" t="s">
        <v>41</v>
      </c>
      <c r="C38" s="24" t="s">
        <v>42</v>
      </c>
      <c r="D38" s="17" t="s">
        <v>43</v>
      </c>
      <c r="E38" s="17" t="s">
        <v>44</v>
      </c>
      <c r="F38" s="20" t="s">
        <v>45</v>
      </c>
      <c r="G38" s="22" t="s">
        <v>46</v>
      </c>
    </row>
    <row r="39" spans="2:8" ht="15.75" thickBot="1" x14ac:dyDescent="0.3">
      <c r="B39" s="18">
        <v>0</v>
      </c>
      <c r="C39" s="94">
        <f>G34</f>
        <v>18.32</v>
      </c>
      <c r="D39" s="94">
        <f>G35+G36+G37</f>
        <v>11.3</v>
      </c>
      <c r="E39" s="19">
        <f>SUM(G36:G37)</f>
        <v>3.66</v>
      </c>
      <c r="F39" s="21">
        <v>0</v>
      </c>
      <c r="G39" s="87">
        <f>SUM(G34:G37)+0.01</f>
        <v>29.630000000000003</v>
      </c>
    </row>
  </sheetData>
  <mergeCells count="6">
    <mergeCell ref="B32:G32"/>
    <mergeCell ref="B3:G3"/>
    <mergeCell ref="B4:G4"/>
    <mergeCell ref="B15:G15"/>
    <mergeCell ref="B16:G16"/>
    <mergeCell ref="B31:G31"/>
  </mergeCells>
  <pageMargins left="1.1811023622047245" right="0.78740157480314965" top="0.78740157480314965" bottom="0.78740157480314965" header="0" footer="0"/>
  <pageSetup paperSize="9" scale="75" orientation="portrait" verticalDpi="300"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45"/>
  <dimension ref="B2:H38"/>
  <sheetViews>
    <sheetView view="pageBreakPreview" zoomScaleNormal="100" zoomScaleSheetLayoutView="100" workbookViewId="0">
      <selection activeCell="B34" sqref="B34:G38"/>
    </sheetView>
  </sheetViews>
  <sheetFormatPr defaultRowHeight="15" x14ac:dyDescent="0.25"/>
  <cols>
    <col min="2" max="2" width="12.85546875" bestFit="1" customWidth="1"/>
    <col min="3" max="3" width="44.85546875" customWidth="1"/>
    <col min="4" max="4" width="12.7109375" bestFit="1" customWidth="1"/>
    <col min="5" max="5" width="10.140625" bestFit="1" customWidth="1"/>
    <col min="6" max="6" width="10.28515625" bestFit="1" customWidth="1"/>
    <col min="7" max="7" width="15.5703125" bestFit="1" customWidth="1"/>
    <col min="8" max="8" width="0" hidden="1" customWidth="1"/>
  </cols>
  <sheetData>
    <row r="2" spans="2:7" ht="15.75" hidden="1" thickBot="1" x14ac:dyDescent="0.3"/>
    <row r="3" spans="2:7" ht="16.5" hidden="1" thickBot="1" x14ac:dyDescent="0.3">
      <c r="B3" s="383" t="s">
        <v>60</v>
      </c>
      <c r="C3" s="384"/>
      <c r="D3" s="384"/>
      <c r="E3" s="384"/>
      <c r="F3" s="384"/>
      <c r="G3" s="385"/>
    </row>
    <row r="4" spans="2:7" ht="60" hidden="1" customHeight="1" thickBot="1" x14ac:dyDescent="0.3">
      <c r="B4" s="380" t="s">
        <v>78</v>
      </c>
      <c r="C4" s="381"/>
      <c r="D4" s="381"/>
      <c r="E4" s="381"/>
      <c r="F4" s="381"/>
      <c r="G4" s="382"/>
    </row>
    <row r="5" spans="2:7" ht="15.75" hidden="1" thickBot="1" x14ac:dyDescent="0.3">
      <c r="B5" s="12" t="s">
        <v>34</v>
      </c>
      <c r="C5" s="13" t="s">
        <v>28</v>
      </c>
      <c r="D5" s="71" t="s">
        <v>29</v>
      </c>
      <c r="E5" s="71" t="s">
        <v>30</v>
      </c>
      <c r="F5" s="71" t="s">
        <v>31</v>
      </c>
      <c r="G5" s="72" t="s">
        <v>32</v>
      </c>
    </row>
    <row r="6" spans="2:7" hidden="1" x14ac:dyDescent="0.25">
      <c r="B6" s="10" t="s">
        <v>0</v>
      </c>
      <c r="C6" s="11" t="s">
        <v>88</v>
      </c>
      <c r="D6" s="70" t="s">
        <v>29</v>
      </c>
      <c r="E6" s="8">
        <v>1</v>
      </c>
      <c r="F6" s="8">
        <v>107.5</v>
      </c>
      <c r="G6" s="9">
        <v>107.5</v>
      </c>
    </row>
    <row r="7" spans="2:7" hidden="1" x14ac:dyDescent="0.25">
      <c r="B7" s="6" t="s">
        <v>83</v>
      </c>
      <c r="C7" s="5" t="s">
        <v>79</v>
      </c>
      <c r="D7" s="15" t="s">
        <v>87</v>
      </c>
      <c r="E7" s="1">
        <v>0.25</v>
      </c>
      <c r="F7" s="1">
        <v>4.05</v>
      </c>
      <c r="G7" s="9">
        <f>ROUND(E7*F7,2)</f>
        <v>1.01</v>
      </c>
    </row>
    <row r="8" spans="2:7" hidden="1" x14ac:dyDescent="0.25">
      <c r="B8" s="7" t="s">
        <v>84</v>
      </c>
      <c r="C8" s="5" t="s">
        <v>80</v>
      </c>
      <c r="D8" s="15" t="s">
        <v>87</v>
      </c>
      <c r="E8" s="1">
        <v>0.5</v>
      </c>
      <c r="F8" s="1">
        <v>4.05</v>
      </c>
      <c r="G8" s="9">
        <f>ROUND(E8*F8,2)</f>
        <v>2.0299999999999998</v>
      </c>
    </row>
    <row r="9" spans="2:7" hidden="1" x14ac:dyDescent="0.25">
      <c r="B9" s="6" t="s">
        <v>85</v>
      </c>
      <c r="C9" s="5" t="s">
        <v>81</v>
      </c>
      <c r="D9" s="15" t="s">
        <v>87</v>
      </c>
      <c r="E9" s="1">
        <v>0.5</v>
      </c>
      <c r="F9" s="1">
        <v>1.83</v>
      </c>
      <c r="G9" s="9">
        <f>ROUND(E9*F9,2)</f>
        <v>0.92</v>
      </c>
    </row>
    <row r="10" spans="2:7" ht="15.75" hidden="1" thickBot="1" x14ac:dyDescent="0.3">
      <c r="B10" s="6" t="s">
        <v>86</v>
      </c>
      <c r="C10" s="4" t="s">
        <v>82</v>
      </c>
      <c r="D10" s="15" t="s">
        <v>87</v>
      </c>
      <c r="E10" s="1">
        <v>0.25</v>
      </c>
      <c r="F10" s="1">
        <v>2.0099999999999998</v>
      </c>
      <c r="G10" s="9">
        <f>ROUND(E10*F10,2)</f>
        <v>0.5</v>
      </c>
    </row>
    <row r="11" spans="2:7" hidden="1" x14ac:dyDescent="0.25">
      <c r="B11" s="16" t="s">
        <v>41</v>
      </c>
      <c r="C11" s="24" t="s">
        <v>42</v>
      </c>
      <c r="D11" s="17" t="s">
        <v>43</v>
      </c>
      <c r="E11" s="17" t="s">
        <v>44</v>
      </c>
      <c r="F11" s="20" t="s">
        <v>45</v>
      </c>
      <c r="G11" s="22" t="s">
        <v>46</v>
      </c>
    </row>
    <row r="12" spans="2:7" ht="15.75" hidden="1" thickBot="1" x14ac:dyDescent="0.3">
      <c r="B12" s="18">
        <v>0</v>
      </c>
      <c r="C12" s="19">
        <f>G6</f>
        <v>107.5</v>
      </c>
      <c r="D12" s="19">
        <f>SUM(G7:G8)</f>
        <v>3.04</v>
      </c>
      <c r="E12" s="19">
        <f>SUM(G9:G10)</f>
        <v>1.42</v>
      </c>
      <c r="F12" s="21">
        <v>0</v>
      </c>
      <c r="G12" s="23">
        <f>SUM(G6:G10)</f>
        <v>111.96000000000001</v>
      </c>
    </row>
    <row r="13" spans="2:7" hidden="1" x14ac:dyDescent="0.25"/>
    <row r="14" spans="2:7" ht="15.75" hidden="1" thickBot="1" x14ac:dyDescent="0.3"/>
    <row r="15" spans="2:7" ht="16.5" hidden="1" thickBot="1" x14ac:dyDescent="0.3">
      <c r="B15" s="383" t="s">
        <v>60</v>
      </c>
      <c r="C15" s="384"/>
      <c r="D15" s="384"/>
      <c r="E15" s="384"/>
      <c r="F15" s="384"/>
      <c r="G15" s="385"/>
    </row>
    <row r="16" spans="2:7" ht="61.5" hidden="1" customHeight="1" thickBot="1" x14ac:dyDescent="0.3">
      <c r="B16" s="380" t="s">
        <v>89</v>
      </c>
      <c r="C16" s="381"/>
      <c r="D16" s="381"/>
      <c r="E16" s="381"/>
      <c r="F16" s="381"/>
      <c r="G16" s="382"/>
    </row>
    <row r="17" spans="2:7" ht="15.75" hidden="1" thickBot="1" x14ac:dyDescent="0.3">
      <c r="B17" s="12" t="s">
        <v>34</v>
      </c>
      <c r="C17" s="13" t="s">
        <v>28</v>
      </c>
      <c r="D17" s="71" t="s">
        <v>29</v>
      </c>
      <c r="E17" s="71" t="s">
        <v>30</v>
      </c>
      <c r="F17" s="71" t="s">
        <v>31</v>
      </c>
      <c r="G17" s="72" t="s">
        <v>32</v>
      </c>
    </row>
    <row r="18" spans="2:7" ht="15.75" hidden="1" customHeight="1" x14ac:dyDescent="0.25">
      <c r="B18" s="10" t="s">
        <v>0</v>
      </c>
      <c r="C18" s="11" t="s">
        <v>90</v>
      </c>
      <c r="D18" s="70" t="s">
        <v>29</v>
      </c>
      <c r="E18" s="8">
        <v>1</v>
      </c>
      <c r="F18" s="8">
        <v>107.5</v>
      </c>
      <c r="G18" s="9">
        <v>302.57</v>
      </c>
    </row>
    <row r="19" spans="2:7" hidden="1" x14ac:dyDescent="0.25">
      <c r="B19" s="6" t="s">
        <v>83</v>
      </c>
      <c r="C19" s="5" t="s">
        <v>79</v>
      </c>
      <c r="D19" s="15" t="s">
        <v>87</v>
      </c>
      <c r="E19" s="1">
        <v>0.25</v>
      </c>
      <c r="F19" s="1">
        <v>4.05</v>
      </c>
      <c r="G19" s="9">
        <f>ROUND(E19*F19,2)</f>
        <v>1.01</v>
      </c>
    </row>
    <row r="20" spans="2:7" hidden="1" x14ac:dyDescent="0.25">
      <c r="B20" s="7" t="s">
        <v>84</v>
      </c>
      <c r="C20" s="5" t="s">
        <v>80</v>
      </c>
      <c r="D20" s="15" t="s">
        <v>87</v>
      </c>
      <c r="E20" s="1">
        <v>0.5</v>
      </c>
      <c r="F20" s="1">
        <v>4.05</v>
      </c>
      <c r="G20" s="9">
        <f>ROUND(E20*F20,2)</f>
        <v>2.0299999999999998</v>
      </c>
    </row>
    <row r="21" spans="2:7" hidden="1" x14ac:dyDescent="0.25">
      <c r="B21" s="6" t="s">
        <v>85</v>
      </c>
      <c r="C21" s="5" t="s">
        <v>81</v>
      </c>
      <c r="D21" s="15" t="s">
        <v>87</v>
      </c>
      <c r="E21" s="1">
        <v>0.5</v>
      </c>
      <c r="F21" s="1">
        <v>1.83</v>
      </c>
      <c r="G21" s="9">
        <f>ROUND(E21*F21,2)</f>
        <v>0.92</v>
      </c>
    </row>
    <row r="22" spans="2:7" ht="15.75" hidden="1" thickBot="1" x14ac:dyDescent="0.3">
      <c r="B22" s="6" t="s">
        <v>86</v>
      </c>
      <c r="C22" s="4" t="s">
        <v>82</v>
      </c>
      <c r="D22" s="15" t="s">
        <v>87</v>
      </c>
      <c r="E22" s="1">
        <v>0.25</v>
      </c>
      <c r="F22" s="1">
        <v>2.0099999999999998</v>
      </c>
      <c r="G22" s="9">
        <f>ROUND(E22*F22,2)</f>
        <v>0.5</v>
      </c>
    </row>
    <row r="23" spans="2:7" hidden="1" x14ac:dyDescent="0.25">
      <c r="B23" s="16" t="s">
        <v>41</v>
      </c>
      <c r="C23" s="24" t="s">
        <v>42</v>
      </c>
      <c r="D23" s="17" t="s">
        <v>43</v>
      </c>
      <c r="E23" s="17" t="s">
        <v>44</v>
      </c>
      <c r="F23" s="20" t="s">
        <v>45</v>
      </c>
      <c r="G23" s="22" t="s">
        <v>46</v>
      </c>
    </row>
    <row r="24" spans="2:7" ht="15.75" hidden="1" thickBot="1" x14ac:dyDescent="0.3">
      <c r="B24" s="18">
        <v>0</v>
      </c>
      <c r="C24" s="19">
        <f>G18</f>
        <v>302.57</v>
      </c>
      <c r="D24" s="19">
        <f>SUM(G19:G20)</f>
        <v>3.04</v>
      </c>
      <c r="E24" s="19">
        <f>SUM(G21:G22)</f>
        <v>1.42</v>
      </c>
      <c r="F24" s="21">
        <v>0</v>
      </c>
      <c r="G24" s="23">
        <f>SUM(G18:G22)</f>
        <v>307.02999999999997</v>
      </c>
    </row>
    <row r="25" spans="2:7" hidden="1" x14ac:dyDescent="0.25"/>
    <row r="26" spans="2:7" hidden="1" x14ac:dyDescent="0.25"/>
    <row r="27" spans="2:7" hidden="1" x14ac:dyDescent="0.25"/>
    <row r="30" spans="2:7" ht="15.75" thickBot="1" x14ac:dyDescent="0.3"/>
    <row r="31" spans="2:7" ht="16.5" thickBot="1" x14ac:dyDescent="0.3">
      <c r="B31" s="383" t="s">
        <v>60</v>
      </c>
      <c r="C31" s="384"/>
      <c r="D31" s="384"/>
      <c r="E31" s="384"/>
      <c r="F31" s="384"/>
      <c r="G31" s="385"/>
    </row>
    <row r="32" spans="2:7" ht="65.25" customHeight="1" thickBot="1" x14ac:dyDescent="0.3">
      <c r="B32" s="380" t="s">
        <v>183</v>
      </c>
      <c r="C32" s="381"/>
      <c r="D32" s="381"/>
      <c r="E32" s="381"/>
      <c r="F32" s="381"/>
      <c r="G32" s="382"/>
    </row>
    <row r="33" spans="2:8" ht="15.75" thickBot="1" x14ac:dyDescent="0.3">
      <c r="B33" s="12" t="s">
        <v>34</v>
      </c>
      <c r="C33" s="13" t="s">
        <v>28</v>
      </c>
      <c r="D33" s="71" t="s">
        <v>29</v>
      </c>
      <c r="E33" s="71" t="s">
        <v>30</v>
      </c>
      <c r="F33" s="71" t="s">
        <v>31</v>
      </c>
      <c r="G33" s="72" t="s">
        <v>32</v>
      </c>
    </row>
    <row r="34" spans="2:8" x14ac:dyDescent="0.25">
      <c r="B34" s="10" t="s">
        <v>190</v>
      </c>
      <c r="C34" s="11" t="s">
        <v>241</v>
      </c>
      <c r="D34" s="70" t="s">
        <v>29</v>
      </c>
      <c r="E34" s="61">
        <v>1</v>
      </c>
      <c r="F34" s="85">
        <v>1028.5899999999999</v>
      </c>
      <c r="G34" s="86">
        <f>E34*F34</f>
        <v>1028.5899999999999</v>
      </c>
      <c r="H34" s="1">
        <v>10.63</v>
      </c>
    </row>
    <row r="35" spans="2:8" x14ac:dyDescent="0.25">
      <c r="B35" s="93" t="s">
        <v>191</v>
      </c>
      <c r="C35" s="5" t="s">
        <v>193</v>
      </c>
      <c r="D35" s="15" t="s">
        <v>87</v>
      </c>
      <c r="E35" s="1">
        <v>4</v>
      </c>
      <c r="F35" s="61">
        <v>5.0599999999999996</v>
      </c>
      <c r="G35" s="9">
        <f>ROUND(E35*F35,2)</f>
        <v>20.239999999999998</v>
      </c>
      <c r="H35" s="1">
        <v>1.83</v>
      </c>
    </row>
    <row r="36" spans="2:8" ht="15.75" thickBot="1" x14ac:dyDescent="0.3">
      <c r="B36" s="92" t="s">
        <v>192</v>
      </c>
      <c r="C36" s="5" t="s">
        <v>194</v>
      </c>
      <c r="D36" s="15" t="s">
        <v>87</v>
      </c>
      <c r="E36" s="1">
        <v>4</v>
      </c>
      <c r="F36" s="61">
        <v>3.41</v>
      </c>
      <c r="G36" s="9">
        <f>ROUND(E36*F36,2)</f>
        <v>13.64</v>
      </c>
      <c r="H36" s="1">
        <v>1.78</v>
      </c>
    </row>
    <row r="37" spans="2:8" x14ac:dyDescent="0.25">
      <c r="B37" s="16" t="s">
        <v>41</v>
      </c>
      <c r="C37" s="24" t="s">
        <v>42</v>
      </c>
      <c r="D37" s="17" t="s">
        <v>43</v>
      </c>
      <c r="E37" s="17" t="s">
        <v>44</v>
      </c>
      <c r="F37" s="20" t="s">
        <v>45</v>
      </c>
      <c r="G37" s="22" t="s">
        <v>46</v>
      </c>
    </row>
    <row r="38" spans="2:8" ht="15.75" thickBot="1" x14ac:dyDescent="0.3">
      <c r="B38" s="18">
        <v>0</v>
      </c>
      <c r="C38" s="94">
        <f>G34</f>
        <v>1028.5899999999999</v>
      </c>
      <c r="D38" s="94">
        <f>G35+G36</f>
        <v>33.879999999999995</v>
      </c>
      <c r="E38" s="19">
        <f>SUM(G35:G36)</f>
        <v>33.879999999999995</v>
      </c>
      <c r="F38" s="21">
        <v>0</v>
      </c>
      <c r="G38" s="87">
        <f>SUM(G34:G36)+0.01</f>
        <v>1062.48</v>
      </c>
    </row>
  </sheetData>
  <mergeCells count="6">
    <mergeCell ref="B32:G32"/>
    <mergeCell ref="B3:G3"/>
    <mergeCell ref="B4:G4"/>
    <mergeCell ref="B15:G15"/>
    <mergeCell ref="B16:G16"/>
    <mergeCell ref="B31:G31"/>
  </mergeCells>
  <pageMargins left="1.1811023622047245" right="0.78740157480314965" top="0.78740157480314965" bottom="0.78740157480314965" header="0" footer="0"/>
  <pageSetup paperSize="9" scale="75" orientation="portrait" verticalDpi="30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46"/>
  <dimension ref="B2:H38"/>
  <sheetViews>
    <sheetView view="pageBreakPreview" topLeftCell="A29" zoomScaleNormal="100" zoomScaleSheetLayoutView="100" workbookViewId="0">
      <selection activeCell="B34" sqref="B34:G38"/>
    </sheetView>
  </sheetViews>
  <sheetFormatPr defaultRowHeight="15" x14ac:dyDescent="0.25"/>
  <cols>
    <col min="2" max="2" width="12.85546875" bestFit="1" customWidth="1"/>
    <col min="3" max="3" width="44.85546875" customWidth="1"/>
    <col min="4" max="4" width="12.7109375" bestFit="1" customWidth="1"/>
    <col min="5" max="5" width="10.140625" bestFit="1" customWidth="1"/>
    <col min="6" max="6" width="10.28515625" bestFit="1" customWidth="1"/>
    <col min="7" max="7" width="15.5703125" bestFit="1" customWidth="1"/>
    <col min="8" max="8" width="0" hidden="1" customWidth="1"/>
  </cols>
  <sheetData>
    <row r="2" spans="2:7" ht="15.75" hidden="1" thickBot="1" x14ac:dyDescent="0.3"/>
    <row r="3" spans="2:7" ht="16.5" hidden="1" thickBot="1" x14ac:dyDescent="0.3">
      <c r="B3" s="383" t="s">
        <v>60</v>
      </c>
      <c r="C3" s="384"/>
      <c r="D3" s="384"/>
      <c r="E3" s="384"/>
      <c r="F3" s="384"/>
      <c r="G3" s="385"/>
    </row>
    <row r="4" spans="2:7" ht="60" hidden="1" customHeight="1" thickBot="1" x14ac:dyDescent="0.3">
      <c r="B4" s="380" t="s">
        <v>78</v>
      </c>
      <c r="C4" s="381"/>
      <c r="D4" s="381"/>
      <c r="E4" s="381"/>
      <c r="F4" s="381"/>
      <c r="G4" s="382"/>
    </row>
    <row r="5" spans="2:7" ht="15.75" hidden="1" thickBot="1" x14ac:dyDescent="0.3">
      <c r="B5" s="12" t="s">
        <v>34</v>
      </c>
      <c r="C5" s="13" t="s">
        <v>28</v>
      </c>
      <c r="D5" s="71" t="s">
        <v>29</v>
      </c>
      <c r="E5" s="71" t="s">
        <v>30</v>
      </c>
      <c r="F5" s="71" t="s">
        <v>31</v>
      </c>
      <c r="G5" s="72" t="s">
        <v>32</v>
      </c>
    </row>
    <row r="6" spans="2:7" hidden="1" x14ac:dyDescent="0.25">
      <c r="B6" s="10" t="s">
        <v>0</v>
      </c>
      <c r="C6" s="11" t="s">
        <v>88</v>
      </c>
      <c r="D6" s="70" t="s">
        <v>29</v>
      </c>
      <c r="E6" s="8">
        <v>1</v>
      </c>
      <c r="F6" s="8">
        <v>107.5</v>
      </c>
      <c r="G6" s="9">
        <v>107.5</v>
      </c>
    </row>
    <row r="7" spans="2:7" hidden="1" x14ac:dyDescent="0.25">
      <c r="B7" s="6" t="s">
        <v>83</v>
      </c>
      <c r="C7" s="5" t="s">
        <v>79</v>
      </c>
      <c r="D7" s="15" t="s">
        <v>87</v>
      </c>
      <c r="E7" s="1">
        <v>0.25</v>
      </c>
      <c r="F7" s="1">
        <v>4.05</v>
      </c>
      <c r="G7" s="9">
        <f>ROUND(E7*F7,2)</f>
        <v>1.01</v>
      </c>
    </row>
    <row r="8" spans="2:7" hidden="1" x14ac:dyDescent="0.25">
      <c r="B8" s="7" t="s">
        <v>84</v>
      </c>
      <c r="C8" s="5" t="s">
        <v>80</v>
      </c>
      <c r="D8" s="15" t="s">
        <v>87</v>
      </c>
      <c r="E8" s="1">
        <v>0.5</v>
      </c>
      <c r="F8" s="1">
        <v>4.05</v>
      </c>
      <c r="G8" s="9">
        <f>ROUND(E8*F8,2)</f>
        <v>2.0299999999999998</v>
      </c>
    </row>
    <row r="9" spans="2:7" hidden="1" x14ac:dyDescent="0.25">
      <c r="B9" s="6" t="s">
        <v>85</v>
      </c>
      <c r="C9" s="5" t="s">
        <v>81</v>
      </c>
      <c r="D9" s="15" t="s">
        <v>87</v>
      </c>
      <c r="E9" s="1">
        <v>0.5</v>
      </c>
      <c r="F9" s="1">
        <v>1.83</v>
      </c>
      <c r="G9" s="9">
        <f>ROUND(E9*F9,2)</f>
        <v>0.92</v>
      </c>
    </row>
    <row r="10" spans="2:7" ht="15.75" hidden="1" thickBot="1" x14ac:dyDescent="0.3">
      <c r="B10" s="6" t="s">
        <v>86</v>
      </c>
      <c r="C10" s="4" t="s">
        <v>82</v>
      </c>
      <c r="D10" s="15" t="s">
        <v>87</v>
      </c>
      <c r="E10" s="1">
        <v>0.25</v>
      </c>
      <c r="F10" s="1">
        <v>2.0099999999999998</v>
      </c>
      <c r="G10" s="9">
        <f>ROUND(E10*F10,2)</f>
        <v>0.5</v>
      </c>
    </row>
    <row r="11" spans="2:7" hidden="1" x14ac:dyDescent="0.25">
      <c r="B11" s="16" t="s">
        <v>41</v>
      </c>
      <c r="C11" s="24" t="s">
        <v>42</v>
      </c>
      <c r="D11" s="17" t="s">
        <v>43</v>
      </c>
      <c r="E11" s="17" t="s">
        <v>44</v>
      </c>
      <c r="F11" s="20" t="s">
        <v>45</v>
      </c>
      <c r="G11" s="22" t="s">
        <v>46</v>
      </c>
    </row>
    <row r="12" spans="2:7" ht="15.75" hidden="1" thickBot="1" x14ac:dyDescent="0.3">
      <c r="B12" s="18">
        <v>0</v>
      </c>
      <c r="C12" s="19">
        <f>G6</f>
        <v>107.5</v>
      </c>
      <c r="D12" s="19">
        <f>SUM(G7:G8)</f>
        <v>3.04</v>
      </c>
      <c r="E12" s="19">
        <f>SUM(G9:G10)</f>
        <v>1.42</v>
      </c>
      <c r="F12" s="21">
        <v>0</v>
      </c>
      <c r="G12" s="23">
        <f>SUM(G6:G10)</f>
        <v>111.96000000000001</v>
      </c>
    </row>
    <row r="13" spans="2:7" hidden="1" x14ac:dyDescent="0.25"/>
    <row r="14" spans="2:7" ht="15.75" hidden="1" thickBot="1" x14ac:dyDescent="0.3"/>
    <row r="15" spans="2:7" ht="16.5" hidden="1" thickBot="1" x14ac:dyDescent="0.3">
      <c r="B15" s="383" t="s">
        <v>60</v>
      </c>
      <c r="C15" s="384"/>
      <c r="D15" s="384"/>
      <c r="E15" s="384"/>
      <c r="F15" s="384"/>
      <c r="G15" s="385"/>
    </row>
    <row r="16" spans="2:7" ht="61.5" hidden="1" customHeight="1" thickBot="1" x14ac:dyDescent="0.3">
      <c r="B16" s="380" t="s">
        <v>89</v>
      </c>
      <c r="C16" s="381"/>
      <c r="D16" s="381"/>
      <c r="E16" s="381"/>
      <c r="F16" s="381"/>
      <c r="G16" s="382"/>
    </row>
    <row r="17" spans="2:7" ht="15.75" hidden="1" thickBot="1" x14ac:dyDescent="0.3">
      <c r="B17" s="12" t="s">
        <v>34</v>
      </c>
      <c r="C17" s="13" t="s">
        <v>28</v>
      </c>
      <c r="D17" s="71" t="s">
        <v>29</v>
      </c>
      <c r="E17" s="71" t="s">
        <v>30</v>
      </c>
      <c r="F17" s="71" t="s">
        <v>31</v>
      </c>
      <c r="G17" s="72" t="s">
        <v>32</v>
      </c>
    </row>
    <row r="18" spans="2:7" ht="15.75" hidden="1" customHeight="1" x14ac:dyDescent="0.25">
      <c r="B18" s="10" t="s">
        <v>0</v>
      </c>
      <c r="C18" s="11" t="s">
        <v>90</v>
      </c>
      <c r="D18" s="70" t="s">
        <v>29</v>
      </c>
      <c r="E18" s="8">
        <v>1</v>
      </c>
      <c r="F18" s="8">
        <v>107.5</v>
      </c>
      <c r="G18" s="9">
        <v>302.57</v>
      </c>
    </row>
    <row r="19" spans="2:7" hidden="1" x14ac:dyDescent="0.25">
      <c r="B19" s="6" t="s">
        <v>83</v>
      </c>
      <c r="C19" s="5" t="s">
        <v>79</v>
      </c>
      <c r="D19" s="15" t="s">
        <v>87</v>
      </c>
      <c r="E19" s="1">
        <v>0.25</v>
      </c>
      <c r="F19" s="1">
        <v>4.05</v>
      </c>
      <c r="G19" s="9">
        <f>ROUND(E19*F19,2)</f>
        <v>1.01</v>
      </c>
    </row>
    <row r="20" spans="2:7" hidden="1" x14ac:dyDescent="0.25">
      <c r="B20" s="7" t="s">
        <v>84</v>
      </c>
      <c r="C20" s="5" t="s">
        <v>80</v>
      </c>
      <c r="D20" s="15" t="s">
        <v>87</v>
      </c>
      <c r="E20" s="1">
        <v>0.5</v>
      </c>
      <c r="F20" s="1">
        <v>4.05</v>
      </c>
      <c r="G20" s="9">
        <f>ROUND(E20*F20,2)</f>
        <v>2.0299999999999998</v>
      </c>
    </row>
    <row r="21" spans="2:7" hidden="1" x14ac:dyDescent="0.25">
      <c r="B21" s="6" t="s">
        <v>85</v>
      </c>
      <c r="C21" s="5" t="s">
        <v>81</v>
      </c>
      <c r="D21" s="15" t="s">
        <v>87</v>
      </c>
      <c r="E21" s="1">
        <v>0.5</v>
      </c>
      <c r="F21" s="1">
        <v>1.83</v>
      </c>
      <c r="G21" s="9">
        <f>ROUND(E21*F21,2)</f>
        <v>0.92</v>
      </c>
    </row>
    <row r="22" spans="2:7" ht="15.75" hidden="1" thickBot="1" x14ac:dyDescent="0.3">
      <c r="B22" s="6" t="s">
        <v>86</v>
      </c>
      <c r="C22" s="4" t="s">
        <v>82</v>
      </c>
      <c r="D22" s="15" t="s">
        <v>87</v>
      </c>
      <c r="E22" s="1">
        <v>0.25</v>
      </c>
      <c r="F22" s="1">
        <v>2.0099999999999998</v>
      </c>
      <c r="G22" s="9">
        <f>ROUND(E22*F22,2)</f>
        <v>0.5</v>
      </c>
    </row>
    <row r="23" spans="2:7" hidden="1" x14ac:dyDescent="0.25">
      <c r="B23" s="16" t="s">
        <v>41</v>
      </c>
      <c r="C23" s="24" t="s">
        <v>42</v>
      </c>
      <c r="D23" s="17" t="s">
        <v>43</v>
      </c>
      <c r="E23" s="17" t="s">
        <v>44</v>
      </c>
      <c r="F23" s="20" t="s">
        <v>45</v>
      </c>
      <c r="G23" s="22" t="s">
        <v>46</v>
      </c>
    </row>
    <row r="24" spans="2:7" ht="15.75" hidden="1" thickBot="1" x14ac:dyDescent="0.3">
      <c r="B24" s="18">
        <v>0</v>
      </c>
      <c r="C24" s="19">
        <f>G18</f>
        <v>302.57</v>
      </c>
      <c r="D24" s="19">
        <f>SUM(G19:G20)</f>
        <v>3.04</v>
      </c>
      <c r="E24" s="19">
        <f>SUM(G21:G22)</f>
        <v>1.42</v>
      </c>
      <c r="F24" s="21">
        <v>0</v>
      </c>
      <c r="G24" s="23">
        <f>SUM(G18:G22)</f>
        <v>307.02999999999997</v>
      </c>
    </row>
    <row r="25" spans="2:7" hidden="1" x14ac:dyDescent="0.25"/>
    <row r="30" spans="2:7" ht="15.75" thickBot="1" x14ac:dyDescent="0.3"/>
    <row r="31" spans="2:7" ht="16.5" thickBot="1" x14ac:dyDescent="0.3">
      <c r="B31" s="383" t="s">
        <v>60</v>
      </c>
      <c r="C31" s="384"/>
      <c r="D31" s="384"/>
      <c r="E31" s="384"/>
      <c r="F31" s="384"/>
      <c r="G31" s="385"/>
    </row>
    <row r="32" spans="2:7" ht="65.25" customHeight="1" thickBot="1" x14ac:dyDescent="0.3">
      <c r="B32" s="380" t="s">
        <v>184</v>
      </c>
      <c r="C32" s="381"/>
      <c r="D32" s="381"/>
      <c r="E32" s="381"/>
      <c r="F32" s="381"/>
      <c r="G32" s="382"/>
    </row>
    <row r="33" spans="2:8" ht="15.75" thickBot="1" x14ac:dyDescent="0.3">
      <c r="B33" s="12" t="s">
        <v>34</v>
      </c>
      <c r="C33" s="13" t="s">
        <v>28</v>
      </c>
      <c r="D33" s="71" t="s">
        <v>29</v>
      </c>
      <c r="E33" s="71" t="s">
        <v>30</v>
      </c>
      <c r="F33" s="71" t="s">
        <v>31</v>
      </c>
      <c r="G33" s="72" t="s">
        <v>32</v>
      </c>
    </row>
    <row r="34" spans="2:8" x14ac:dyDescent="0.25">
      <c r="B34" s="10" t="s">
        <v>190</v>
      </c>
      <c r="C34" s="11" t="s">
        <v>242</v>
      </c>
      <c r="D34" s="70" t="s">
        <v>43</v>
      </c>
      <c r="E34" s="61">
        <v>1</v>
      </c>
      <c r="F34" s="85">
        <v>82.23</v>
      </c>
      <c r="G34" s="86">
        <f>E34*F34</f>
        <v>82.23</v>
      </c>
      <c r="H34" s="1">
        <v>7.88</v>
      </c>
    </row>
    <row r="35" spans="2:8" x14ac:dyDescent="0.25">
      <c r="B35" s="93" t="s">
        <v>191</v>
      </c>
      <c r="C35" s="5" t="s">
        <v>193</v>
      </c>
      <c r="D35" s="15" t="s">
        <v>87</v>
      </c>
      <c r="E35" s="1">
        <v>1</v>
      </c>
      <c r="F35" s="61">
        <v>5.0599999999999996</v>
      </c>
      <c r="G35" s="9">
        <f>ROUND(E35*F35,2)</f>
        <v>5.0599999999999996</v>
      </c>
      <c r="H35" s="1">
        <v>1.83</v>
      </c>
    </row>
    <row r="36" spans="2:8" ht="15.75" thickBot="1" x14ac:dyDescent="0.3">
      <c r="B36" s="92" t="s">
        <v>192</v>
      </c>
      <c r="C36" s="5" t="s">
        <v>194</v>
      </c>
      <c r="D36" s="15" t="s">
        <v>87</v>
      </c>
      <c r="E36" s="1">
        <v>1</v>
      </c>
      <c r="F36" s="61">
        <v>3.41</v>
      </c>
      <c r="G36" s="9">
        <f>ROUND(E36*F36,2)</f>
        <v>3.41</v>
      </c>
      <c r="H36" s="1">
        <v>1.78</v>
      </c>
    </row>
    <row r="37" spans="2:8" x14ac:dyDescent="0.25">
      <c r="B37" s="16" t="s">
        <v>41</v>
      </c>
      <c r="C37" s="24" t="s">
        <v>42</v>
      </c>
      <c r="D37" s="17" t="s">
        <v>43</v>
      </c>
      <c r="E37" s="17" t="s">
        <v>44</v>
      </c>
      <c r="F37" s="20" t="s">
        <v>45</v>
      </c>
      <c r="G37" s="22" t="s">
        <v>46</v>
      </c>
    </row>
    <row r="38" spans="2:8" ht="15.75" thickBot="1" x14ac:dyDescent="0.3">
      <c r="B38" s="18">
        <v>0</v>
      </c>
      <c r="C38" s="94">
        <f>G34</f>
        <v>82.23</v>
      </c>
      <c r="D38" s="94">
        <f>G35+G36</f>
        <v>8.4699999999999989</v>
      </c>
      <c r="E38" s="19">
        <f>SUM(G35:G36)</f>
        <v>8.4699999999999989</v>
      </c>
      <c r="F38" s="21">
        <v>0</v>
      </c>
      <c r="G38" s="87">
        <f>SUM(G34:G36)+0.01</f>
        <v>90.710000000000008</v>
      </c>
    </row>
  </sheetData>
  <mergeCells count="6">
    <mergeCell ref="B32:G32"/>
    <mergeCell ref="B3:G3"/>
    <mergeCell ref="B4:G4"/>
    <mergeCell ref="B15:G15"/>
    <mergeCell ref="B16:G16"/>
    <mergeCell ref="B31:G31"/>
  </mergeCells>
  <pageMargins left="1.1811023622047245" right="0.78740157480314965" top="0.78740157480314965" bottom="0.78740157480314965" header="0" footer="0"/>
  <pageSetup paperSize="9" scale="75" orientation="portrait" verticalDpi="300"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47"/>
  <dimension ref="B2:H38"/>
  <sheetViews>
    <sheetView view="pageBreakPreview" zoomScaleNormal="100" zoomScaleSheetLayoutView="100" workbookViewId="0">
      <selection activeCell="B34" sqref="B34:G38"/>
    </sheetView>
  </sheetViews>
  <sheetFormatPr defaultRowHeight="15" x14ac:dyDescent="0.25"/>
  <cols>
    <col min="2" max="2" width="12.85546875" bestFit="1" customWidth="1"/>
    <col min="3" max="3" width="44.85546875" customWidth="1"/>
    <col min="4" max="4" width="12.7109375" bestFit="1" customWidth="1"/>
    <col min="5" max="5" width="10.140625" bestFit="1" customWidth="1"/>
    <col min="6" max="6" width="10.28515625" bestFit="1" customWidth="1"/>
    <col min="7" max="7" width="15.5703125" bestFit="1" customWidth="1"/>
    <col min="8" max="8" width="0" hidden="1" customWidth="1"/>
  </cols>
  <sheetData>
    <row r="2" spans="2:7" ht="15.75" hidden="1" thickBot="1" x14ac:dyDescent="0.3"/>
    <row r="3" spans="2:7" ht="16.5" hidden="1" thickBot="1" x14ac:dyDescent="0.3">
      <c r="B3" s="383" t="s">
        <v>60</v>
      </c>
      <c r="C3" s="384"/>
      <c r="D3" s="384"/>
      <c r="E3" s="384"/>
      <c r="F3" s="384"/>
      <c r="G3" s="385"/>
    </row>
    <row r="4" spans="2:7" ht="60" hidden="1" customHeight="1" thickBot="1" x14ac:dyDescent="0.3">
      <c r="B4" s="380" t="s">
        <v>78</v>
      </c>
      <c r="C4" s="381"/>
      <c r="D4" s="381"/>
      <c r="E4" s="381"/>
      <c r="F4" s="381"/>
      <c r="G4" s="382"/>
    </row>
    <row r="5" spans="2:7" ht="15.75" hidden="1" thickBot="1" x14ac:dyDescent="0.3">
      <c r="B5" s="12" t="s">
        <v>34</v>
      </c>
      <c r="C5" s="13" t="s">
        <v>28</v>
      </c>
      <c r="D5" s="71" t="s">
        <v>29</v>
      </c>
      <c r="E5" s="71" t="s">
        <v>30</v>
      </c>
      <c r="F5" s="71" t="s">
        <v>31</v>
      </c>
      <c r="G5" s="72" t="s">
        <v>32</v>
      </c>
    </row>
    <row r="6" spans="2:7" hidden="1" x14ac:dyDescent="0.25">
      <c r="B6" s="10" t="s">
        <v>0</v>
      </c>
      <c r="C6" s="11" t="s">
        <v>88</v>
      </c>
      <c r="D6" s="70" t="s">
        <v>29</v>
      </c>
      <c r="E6" s="8">
        <v>1</v>
      </c>
      <c r="F6" s="8">
        <v>107.5</v>
      </c>
      <c r="G6" s="9">
        <v>107.5</v>
      </c>
    </row>
    <row r="7" spans="2:7" hidden="1" x14ac:dyDescent="0.25">
      <c r="B7" s="6" t="s">
        <v>83</v>
      </c>
      <c r="C7" s="5" t="s">
        <v>79</v>
      </c>
      <c r="D7" s="15" t="s">
        <v>87</v>
      </c>
      <c r="E7" s="1">
        <v>0.25</v>
      </c>
      <c r="F7" s="1">
        <v>4.05</v>
      </c>
      <c r="G7" s="9">
        <f>ROUND(E7*F7,2)</f>
        <v>1.01</v>
      </c>
    </row>
    <row r="8" spans="2:7" hidden="1" x14ac:dyDescent="0.25">
      <c r="B8" s="7" t="s">
        <v>84</v>
      </c>
      <c r="C8" s="5" t="s">
        <v>80</v>
      </c>
      <c r="D8" s="15" t="s">
        <v>87</v>
      </c>
      <c r="E8" s="1">
        <v>0.5</v>
      </c>
      <c r="F8" s="1">
        <v>4.05</v>
      </c>
      <c r="G8" s="9">
        <f>ROUND(E8*F8,2)</f>
        <v>2.0299999999999998</v>
      </c>
    </row>
    <row r="9" spans="2:7" hidden="1" x14ac:dyDescent="0.25">
      <c r="B9" s="6" t="s">
        <v>85</v>
      </c>
      <c r="C9" s="5" t="s">
        <v>81</v>
      </c>
      <c r="D9" s="15" t="s">
        <v>87</v>
      </c>
      <c r="E9" s="1">
        <v>0.5</v>
      </c>
      <c r="F9" s="1">
        <v>1.83</v>
      </c>
      <c r="G9" s="9">
        <f>ROUND(E9*F9,2)</f>
        <v>0.92</v>
      </c>
    </row>
    <row r="10" spans="2:7" ht="15.75" hidden="1" thickBot="1" x14ac:dyDescent="0.3">
      <c r="B10" s="6" t="s">
        <v>86</v>
      </c>
      <c r="C10" s="4" t="s">
        <v>82</v>
      </c>
      <c r="D10" s="15" t="s">
        <v>87</v>
      </c>
      <c r="E10" s="1">
        <v>0.25</v>
      </c>
      <c r="F10" s="1">
        <v>2.0099999999999998</v>
      </c>
      <c r="G10" s="9">
        <f>ROUND(E10*F10,2)</f>
        <v>0.5</v>
      </c>
    </row>
    <row r="11" spans="2:7" hidden="1" x14ac:dyDescent="0.25">
      <c r="B11" s="16" t="s">
        <v>41</v>
      </c>
      <c r="C11" s="24" t="s">
        <v>42</v>
      </c>
      <c r="D11" s="17" t="s">
        <v>43</v>
      </c>
      <c r="E11" s="17" t="s">
        <v>44</v>
      </c>
      <c r="F11" s="20" t="s">
        <v>45</v>
      </c>
      <c r="G11" s="22" t="s">
        <v>46</v>
      </c>
    </row>
    <row r="12" spans="2:7" ht="15.75" hidden="1" thickBot="1" x14ac:dyDescent="0.3">
      <c r="B12" s="18">
        <v>0</v>
      </c>
      <c r="C12" s="19">
        <f>G6</f>
        <v>107.5</v>
      </c>
      <c r="D12" s="19">
        <f>SUM(G7:G8)</f>
        <v>3.04</v>
      </c>
      <c r="E12" s="19">
        <f>SUM(G9:G10)</f>
        <v>1.42</v>
      </c>
      <c r="F12" s="21">
        <v>0</v>
      </c>
      <c r="G12" s="23">
        <f>SUM(G6:G10)</f>
        <v>111.96000000000001</v>
      </c>
    </row>
    <row r="13" spans="2:7" hidden="1" x14ac:dyDescent="0.25"/>
    <row r="14" spans="2:7" ht="15.75" hidden="1" thickBot="1" x14ac:dyDescent="0.3"/>
    <row r="15" spans="2:7" ht="16.5" hidden="1" thickBot="1" x14ac:dyDescent="0.3">
      <c r="B15" s="383" t="s">
        <v>60</v>
      </c>
      <c r="C15" s="384"/>
      <c r="D15" s="384"/>
      <c r="E15" s="384"/>
      <c r="F15" s="384"/>
      <c r="G15" s="385"/>
    </row>
    <row r="16" spans="2:7" ht="61.5" hidden="1" customHeight="1" thickBot="1" x14ac:dyDescent="0.3">
      <c r="B16" s="380" t="s">
        <v>89</v>
      </c>
      <c r="C16" s="381"/>
      <c r="D16" s="381"/>
      <c r="E16" s="381"/>
      <c r="F16" s="381"/>
      <c r="G16" s="382"/>
    </row>
    <row r="17" spans="2:7" ht="15.75" hidden="1" thickBot="1" x14ac:dyDescent="0.3">
      <c r="B17" s="12" t="s">
        <v>34</v>
      </c>
      <c r="C17" s="13" t="s">
        <v>28</v>
      </c>
      <c r="D17" s="71" t="s">
        <v>29</v>
      </c>
      <c r="E17" s="71" t="s">
        <v>30</v>
      </c>
      <c r="F17" s="71" t="s">
        <v>31</v>
      </c>
      <c r="G17" s="72" t="s">
        <v>32</v>
      </c>
    </row>
    <row r="18" spans="2:7" ht="15.75" hidden="1" customHeight="1" x14ac:dyDescent="0.25">
      <c r="B18" s="10" t="s">
        <v>0</v>
      </c>
      <c r="C18" s="11" t="s">
        <v>90</v>
      </c>
      <c r="D18" s="70" t="s">
        <v>29</v>
      </c>
      <c r="E18" s="8">
        <v>1</v>
      </c>
      <c r="F18" s="8">
        <v>107.5</v>
      </c>
      <c r="G18" s="9">
        <v>302.57</v>
      </c>
    </row>
    <row r="19" spans="2:7" hidden="1" x14ac:dyDescent="0.25">
      <c r="B19" s="6" t="s">
        <v>83</v>
      </c>
      <c r="C19" s="5" t="s">
        <v>79</v>
      </c>
      <c r="D19" s="15" t="s">
        <v>87</v>
      </c>
      <c r="E19" s="1">
        <v>0.25</v>
      </c>
      <c r="F19" s="1">
        <v>4.05</v>
      </c>
      <c r="G19" s="9">
        <f>ROUND(E19*F19,2)</f>
        <v>1.01</v>
      </c>
    </row>
    <row r="20" spans="2:7" hidden="1" x14ac:dyDescent="0.25">
      <c r="B20" s="7" t="s">
        <v>84</v>
      </c>
      <c r="C20" s="5" t="s">
        <v>80</v>
      </c>
      <c r="D20" s="15" t="s">
        <v>87</v>
      </c>
      <c r="E20" s="1">
        <v>0.5</v>
      </c>
      <c r="F20" s="1">
        <v>4.05</v>
      </c>
      <c r="G20" s="9">
        <f>ROUND(E20*F20,2)</f>
        <v>2.0299999999999998</v>
      </c>
    </row>
    <row r="21" spans="2:7" hidden="1" x14ac:dyDescent="0.25">
      <c r="B21" s="6" t="s">
        <v>85</v>
      </c>
      <c r="C21" s="5" t="s">
        <v>81</v>
      </c>
      <c r="D21" s="15" t="s">
        <v>87</v>
      </c>
      <c r="E21" s="1">
        <v>0.5</v>
      </c>
      <c r="F21" s="1">
        <v>1.83</v>
      </c>
      <c r="G21" s="9">
        <f>ROUND(E21*F21,2)</f>
        <v>0.92</v>
      </c>
    </row>
    <row r="22" spans="2:7" ht="15.75" hidden="1" thickBot="1" x14ac:dyDescent="0.3">
      <c r="B22" s="6" t="s">
        <v>86</v>
      </c>
      <c r="C22" s="4" t="s">
        <v>82</v>
      </c>
      <c r="D22" s="15" t="s">
        <v>87</v>
      </c>
      <c r="E22" s="1">
        <v>0.25</v>
      </c>
      <c r="F22" s="1">
        <v>2.0099999999999998</v>
      </c>
      <c r="G22" s="9">
        <f>ROUND(E22*F22,2)</f>
        <v>0.5</v>
      </c>
    </row>
    <row r="23" spans="2:7" hidden="1" x14ac:dyDescent="0.25">
      <c r="B23" s="16" t="s">
        <v>41</v>
      </c>
      <c r="C23" s="24" t="s">
        <v>42</v>
      </c>
      <c r="D23" s="17" t="s">
        <v>43</v>
      </c>
      <c r="E23" s="17" t="s">
        <v>44</v>
      </c>
      <c r="F23" s="20" t="s">
        <v>45</v>
      </c>
      <c r="G23" s="22" t="s">
        <v>46</v>
      </c>
    </row>
    <row r="24" spans="2:7" ht="15.75" hidden="1" thickBot="1" x14ac:dyDescent="0.3">
      <c r="B24" s="18">
        <v>0</v>
      </c>
      <c r="C24" s="19">
        <f>G18</f>
        <v>302.57</v>
      </c>
      <c r="D24" s="19">
        <f>SUM(G19:G20)</f>
        <v>3.04</v>
      </c>
      <c r="E24" s="19">
        <f>SUM(G21:G22)</f>
        <v>1.42</v>
      </c>
      <c r="F24" s="21">
        <v>0</v>
      </c>
      <c r="G24" s="23">
        <f>SUM(G18:G22)</f>
        <v>307.02999999999997</v>
      </c>
    </row>
    <row r="25" spans="2:7" hidden="1" x14ac:dyDescent="0.25"/>
    <row r="26" spans="2:7" hidden="1" x14ac:dyDescent="0.25"/>
    <row r="27" spans="2:7" hidden="1" x14ac:dyDescent="0.25"/>
    <row r="30" spans="2:7" ht="15.75" thickBot="1" x14ac:dyDescent="0.3"/>
    <row r="31" spans="2:7" ht="16.5" thickBot="1" x14ac:dyDescent="0.3">
      <c r="B31" s="383" t="s">
        <v>60</v>
      </c>
      <c r="C31" s="384"/>
      <c r="D31" s="384"/>
      <c r="E31" s="384"/>
      <c r="F31" s="384"/>
      <c r="G31" s="385"/>
    </row>
    <row r="32" spans="2:7" ht="65.25" customHeight="1" thickBot="1" x14ac:dyDescent="0.3">
      <c r="B32" s="380" t="s">
        <v>185</v>
      </c>
      <c r="C32" s="381"/>
      <c r="D32" s="381"/>
      <c r="E32" s="381"/>
      <c r="F32" s="381"/>
      <c r="G32" s="382"/>
    </row>
    <row r="33" spans="2:8" ht="15.75" thickBot="1" x14ac:dyDescent="0.3">
      <c r="B33" s="12" t="s">
        <v>34</v>
      </c>
      <c r="C33" s="13" t="s">
        <v>28</v>
      </c>
      <c r="D33" s="71" t="s">
        <v>29</v>
      </c>
      <c r="E33" s="71" t="s">
        <v>30</v>
      </c>
      <c r="F33" s="71" t="s">
        <v>31</v>
      </c>
      <c r="G33" s="72" t="s">
        <v>32</v>
      </c>
    </row>
    <row r="34" spans="2:8" x14ac:dyDescent="0.25">
      <c r="B34" s="10" t="s">
        <v>190</v>
      </c>
      <c r="C34" s="11" t="s">
        <v>243</v>
      </c>
      <c r="D34" s="70" t="s">
        <v>26</v>
      </c>
      <c r="E34" s="61">
        <v>1</v>
      </c>
      <c r="F34" s="85">
        <v>324.45999999999998</v>
      </c>
      <c r="G34" s="86">
        <f>E34*F34</f>
        <v>324.45999999999998</v>
      </c>
      <c r="H34" s="1">
        <v>7.88</v>
      </c>
    </row>
    <row r="35" spans="2:8" x14ac:dyDescent="0.25">
      <c r="B35" s="93" t="s">
        <v>191</v>
      </c>
      <c r="C35" s="5" t="s">
        <v>193</v>
      </c>
      <c r="D35" s="15" t="s">
        <v>87</v>
      </c>
      <c r="E35" s="1">
        <v>2</v>
      </c>
      <c r="F35" s="61">
        <v>5.0599999999999996</v>
      </c>
      <c r="G35" s="9">
        <f>ROUND(E35*F35,2)</f>
        <v>10.119999999999999</v>
      </c>
      <c r="H35" s="1">
        <v>1.83</v>
      </c>
    </row>
    <row r="36" spans="2:8" ht="15.75" thickBot="1" x14ac:dyDescent="0.3">
      <c r="B36" s="92" t="s">
        <v>192</v>
      </c>
      <c r="C36" s="5" t="s">
        <v>194</v>
      </c>
      <c r="D36" s="15" t="s">
        <v>87</v>
      </c>
      <c r="E36" s="1">
        <v>2</v>
      </c>
      <c r="F36" s="61">
        <v>3.41</v>
      </c>
      <c r="G36" s="9">
        <f>ROUND(E36*F36,2)</f>
        <v>6.82</v>
      </c>
      <c r="H36" s="1">
        <v>1.78</v>
      </c>
    </row>
    <row r="37" spans="2:8" x14ac:dyDescent="0.25">
      <c r="B37" s="16" t="s">
        <v>41</v>
      </c>
      <c r="C37" s="24" t="s">
        <v>42</v>
      </c>
      <c r="D37" s="17" t="s">
        <v>43</v>
      </c>
      <c r="E37" s="17" t="s">
        <v>44</v>
      </c>
      <c r="F37" s="20" t="s">
        <v>45</v>
      </c>
      <c r="G37" s="22" t="s">
        <v>46</v>
      </c>
    </row>
    <row r="38" spans="2:8" ht="15.75" thickBot="1" x14ac:dyDescent="0.3">
      <c r="B38" s="18">
        <v>0</v>
      </c>
      <c r="C38" s="94">
        <f>G34</f>
        <v>324.45999999999998</v>
      </c>
      <c r="D38" s="94">
        <f>G35+G36</f>
        <v>16.939999999999998</v>
      </c>
      <c r="E38" s="19">
        <f>SUM(G35:G36)</f>
        <v>16.939999999999998</v>
      </c>
      <c r="F38" s="21">
        <v>0</v>
      </c>
      <c r="G38" s="87">
        <f>SUM(G34:G36)+0.01</f>
        <v>341.40999999999997</v>
      </c>
    </row>
  </sheetData>
  <mergeCells count="6">
    <mergeCell ref="B32:G32"/>
    <mergeCell ref="B3:G3"/>
    <mergeCell ref="B4:G4"/>
    <mergeCell ref="B15:G15"/>
    <mergeCell ref="B16:G16"/>
    <mergeCell ref="B31:G31"/>
  </mergeCells>
  <pageMargins left="1.1811023622047245" right="0.78740157480314965" top="0.78740157480314965" bottom="0.78740157480314965" header="0" footer="0"/>
  <pageSetup paperSize="9" scale="75" orientation="portrait" verticalDpi="300"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48"/>
  <dimension ref="B2:H38"/>
  <sheetViews>
    <sheetView view="pageBreakPreview" zoomScaleNormal="100" zoomScaleSheetLayoutView="100" workbookViewId="0">
      <selection activeCell="B34" sqref="B34:G38"/>
    </sheetView>
  </sheetViews>
  <sheetFormatPr defaultRowHeight="15" x14ac:dyDescent="0.25"/>
  <cols>
    <col min="2" max="2" width="12.85546875" bestFit="1" customWidth="1"/>
    <col min="3" max="3" width="44.85546875" customWidth="1"/>
    <col min="4" max="4" width="12.7109375" bestFit="1" customWidth="1"/>
    <col min="5" max="5" width="10.140625" bestFit="1" customWidth="1"/>
    <col min="6" max="6" width="10.28515625" bestFit="1" customWidth="1"/>
    <col min="7" max="7" width="15.5703125" bestFit="1" customWidth="1"/>
    <col min="8" max="8" width="0" hidden="1" customWidth="1"/>
  </cols>
  <sheetData>
    <row r="2" spans="2:7" ht="15.75" hidden="1" thickBot="1" x14ac:dyDescent="0.3"/>
    <row r="3" spans="2:7" ht="16.5" hidden="1" thickBot="1" x14ac:dyDescent="0.3">
      <c r="B3" s="383" t="s">
        <v>60</v>
      </c>
      <c r="C3" s="384"/>
      <c r="D3" s="384"/>
      <c r="E3" s="384"/>
      <c r="F3" s="384"/>
      <c r="G3" s="385"/>
    </row>
    <row r="4" spans="2:7" ht="60" hidden="1" customHeight="1" thickBot="1" x14ac:dyDescent="0.3">
      <c r="B4" s="380" t="s">
        <v>78</v>
      </c>
      <c r="C4" s="381"/>
      <c r="D4" s="381"/>
      <c r="E4" s="381"/>
      <c r="F4" s="381"/>
      <c r="G4" s="382"/>
    </row>
    <row r="5" spans="2:7" ht="15.75" hidden="1" thickBot="1" x14ac:dyDescent="0.3">
      <c r="B5" s="12" t="s">
        <v>34</v>
      </c>
      <c r="C5" s="13" t="s">
        <v>28</v>
      </c>
      <c r="D5" s="71" t="s">
        <v>29</v>
      </c>
      <c r="E5" s="71" t="s">
        <v>30</v>
      </c>
      <c r="F5" s="71" t="s">
        <v>31</v>
      </c>
      <c r="G5" s="72" t="s">
        <v>32</v>
      </c>
    </row>
    <row r="6" spans="2:7" hidden="1" x14ac:dyDescent="0.25">
      <c r="B6" s="10" t="s">
        <v>0</v>
      </c>
      <c r="C6" s="11" t="s">
        <v>88</v>
      </c>
      <c r="D6" s="70" t="s">
        <v>29</v>
      </c>
      <c r="E6" s="8">
        <v>1</v>
      </c>
      <c r="F6" s="8">
        <v>107.5</v>
      </c>
      <c r="G6" s="9">
        <v>107.5</v>
      </c>
    </row>
    <row r="7" spans="2:7" hidden="1" x14ac:dyDescent="0.25">
      <c r="B7" s="6" t="s">
        <v>83</v>
      </c>
      <c r="C7" s="5" t="s">
        <v>79</v>
      </c>
      <c r="D7" s="15" t="s">
        <v>87</v>
      </c>
      <c r="E7" s="1">
        <v>0.25</v>
      </c>
      <c r="F7" s="1">
        <v>4.05</v>
      </c>
      <c r="G7" s="9">
        <f>ROUND(E7*F7,2)</f>
        <v>1.01</v>
      </c>
    </row>
    <row r="8" spans="2:7" hidden="1" x14ac:dyDescent="0.25">
      <c r="B8" s="7" t="s">
        <v>84</v>
      </c>
      <c r="C8" s="5" t="s">
        <v>80</v>
      </c>
      <c r="D8" s="15" t="s">
        <v>87</v>
      </c>
      <c r="E8" s="1">
        <v>0.5</v>
      </c>
      <c r="F8" s="1">
        <v>4.05</v>
      </c>
      <c r="G8" s="9">
        <f>ROUND(E8*F8,2)</f>
        <v>2.0299999999999998</v>
      </c>
    </row>
    <row r="9" spans="2:7" hidden="1" x14ac:dyDescent="0.25">
      <c r="B9" s="6" t="s">
        <v>85</v>
      </c>
      <c r="C9" s="5" t="s">
        <v>81</v>
      </c>
      <c r="D9" s="15" t="s">
        <v>87</v>
      </c>
      <c r="E9" s="1">
        <v>0.5</v>
      </c>
      <c r="F9" s="1">
        <v>1.83</v>
      </c>
      <c r="G9" s="9">
        <f>ROUND(E9*F9,2)</f>
        <v>0.92</v>
      </c>
    </row>
    <row r="10" spans="2:7" ht="15.75" hidden="1" thickBot="1" x14ac:dyDescent="0.3">
      <c r="B10" s="6" t="s">
        <v>86</v>
      </c>
      <c r="C10" s="4" t="s">
        <v>82</v>
      </c>
      <c r="D10" s="15" t="s">
        <v>87</v>
      </c>
      <c r="E10" s="1">
        <v>0.25</v>
      </c>
      <c r="F10" s="1">
        <v>2.0099999999999998</v>
      </c>
      <c r="G10" s="9">
        <f>ROUND(E10*F10,2)</f>
        <v>0.5</v>
      </c>
    </row>
    <row r="11" spans="2:7" hidden="1" x14ac:dyDescent="0.25">
      <c r="B11" s="16" t="s">
        <v>41</v>
      </c>
      <c r="C11" s="24" t="s">
        <v>42</v>
      </c>
      <c r="D11" s="17" t="s">
        <v>43</v>
      </c>
      <c r="E11" s="17" t="s">
        <v>44</v>
      </c>
      <c r="F11" s="20" t="s">
        <v>45</v>
      </c>
      <c r="G11" s="22" t="s">
        <v>46</v>
      </c>
    </row>
    <row r="12" spans="2:7" ht="15.75" hidden="1" thickBot="1" x14ac:dyDescent="0.3">
      <c r="B12" s="18">
        <v>0</v>
      </c>
      <c r="C12" s="19">
        <f>G6</f>
        <v>107.5</v>
      </c>
      <c r="D12" s="19">
        <f>SUM(G7:G8)</f>
        <v>3.04</v>
      </c>
      <c r="E12" s="19">
        <f>SUM(G9:G10)</f>
        <v>1.42</v>
      </c>
      <c r="F12" s="21">
        <v>0</v>
      </c>
      <c r="G12" s="23">
        <f>SUM(G6:G10)</f>
        <v>111.96000000000001</v>
      </c>
    </row>
    <row r="13" spans="2:7" hidden="1" x14ac:dyDescent="0.25"/>
    <row r="14" spans="2:7" ht="15.75" hidden="1" thickBot="1" x14ac:dyDescent="0.3"/>
    <row r="15" spans="2:7" ht="16.5" hidden="1" thickBot="1" x14ac:dyDescent="0.3">
      <c r="B15" s="383" t="s">
        <v>60</v>
      </c>
      <c r="C15" s="384"/>
      <c r="D15" s="384"/>
      <c r="E15" s="384"/>
      <c r="F15" s="384"/>
      <c r="G15" s="385"/>
    </row>
    <row r="16" spans="2:7" ht="61.5" hidden="1" customHeight="1" thickBot="1" x14ac:dyDescent="0.3">
      <c r="B16" s="380" t="s">
        <v>89</v>
      </c>
      <c r="C16" s="381"/>
      <c r="D16" s="381"/>
      <c r="E16" s="381"/>
      <c r="F16" s="381"/>
      <c r="G16" s="382"/>
    </row>
    <row r="17" spans="2:7" ht="15.75" hidden="1" thickBot="1" x14ac:dyDescent="0.3">
      <c r="B17" s="12" t="s">
        <v>34</v>
      </c>
      <c r="C17" s="13" t="s">
        <v>28</v>
      </c>
      <c r="D17" s="71" t="s">
        <v>29</v>
      </c>
      <c r="E17" s="71" t="s">
        <v>30</v>
      </c>
      <c r="F17" s="71" t="s">
        <v>31</v>
      </c>
      <c r="G17" s="72" t="s">
        <v>32</v>
      </c>
    </row>
    <row r="18" spans="2:7" ht="15.75" hidden="1" customHeight="1" x14ac:dyDescent="0.25">
      <c r="B18" s="10" t="s">
        <v>0</v>
      </c>
      <c r="C18" s="11" t="s">
        <v>90</v>
      </c>
      <c r="D18" s="70" t="s">
        <v>29</v>
      </c>
      <c r="E18" s="8">
        <v>1</v>
      </c>
      <c r="F18" s="8">
        <v>107.5</v>
      </c>
      <c r="G18" s="9">
        <v>302.57</v>
      </c>
    </row>
    <row r="19" spans="2:7" hidden="1" x14ac:dyDescent="0.25">
      <c r="B19" s="6" t="s">
        <v>83</v>
      </c>
      <c r="C19" s="5" t="s">
        <v>79</v>
      </c>
      <c r="D19" s="15" t="s">
        <v>87</v>
      </c>
      <c r="E19" s="1">
        <v>0.25</v>
      </c>
      <c r="F19" s="1">
        <v>4.05</v>
      </c>
      <c r="G19" s="9">
        <f>ROUND(E19*F19,2)</f>
        <v>1.01</v>
      </c>
    </row>
    <row r="20" spans="2:7" hidden="1" x14ac:dyDescent="0.25">
      <c r="B20" s="7" t="s">
        <v>84</v>
      </c>
      <c r="C20" s="5" t="s">
        <v>80</v>
      </c>
      <c r="D20" s="15" t="s">
        <v>87</v>
      </c>
      <c r="E20" s="1">
        <v>0.5</v>
      </c>
      <c r="F20" s="1">
        <v>4.05</v>
      </c>
      <c r="G20" s="9">
        <f>ROUND(E20*F20,2)</f>
        <v>2.0299999999999998</v>
      </c>
    </row>
    <row r="21" spans="2:7" hidden="1" x14ac:dyDescent="0.25">
      <c r="B21" s="6" t="s">
        <v>85</v>
      </c>
      <c r="C21" s="5" t="s">
        <v>81</v>
      </c>
      <c r="D21" s="15" t="s">
        <v>87</v>
      </c>
      <c r="E21" s="1">
        <v>0.5</v>
      </c>
      <c r="F21" s="1">
        <v>1.83</v>
      </c>
      <c r="G21" s="9">
        <f>ROUND(E21*F21,2)</f>
        <v>0.92</v>
      </c>
    </row>
    <row r="22" spans="2:7" ht="15.75" hidden="1" thickBot="1" x14ac:dyDescent="0.3">
      <c r="B22" s="6" t="s">
        <v>86</v>
      </c>
      <c r="C22" s="4" t="s">
        <v>82</v>
      </c>
      <c r="D22" s="15" t="s">
        <v>87</v>
      </c>
      <c r="E22" s="1">
        <v>0.25</v>
      </c>
      <c r="F22" s="1">
        <v>2.0099999999999998</v>
      </c>
      <c r="G22" s="9">
        <f>ROUND(E22*F22,2)</f>
        <v>0.5</v>
      </c>
    </row>
    <row r="23" spans="2:7" hidden="1" x14ac:dyDescent="0.25">
      <c r="B23" s="16" t="s">
        <v>41</v>
      </c>
      <c r="C23" s="24" t="s">
        <v>42</v>
      </c>
      <c r="D23" s="17" t="s">
        <v>43</v>
      </c>
      <c r="E23" s="17" t="s">
        <v>44</v>
      </c>
      <c r="F23" s="20" t="s">
        <v>45</v>
      </c>
      <c r="G23" s="22" t="s">
        <v>46</v>
      </c>
    </row>
    <row r="24" spans="2:7" ht="15.75" hidden="1" thickBot="1" x14ac:dyDescent="0.3">
      <c r="B24" s="18">
        <v>0</v>
      </c>
      <c r="C24" s="19">
        <f>G18</f>
        <v>302.57</v>
      </c>
      <c r="D24" s="19">
        <f>SUM(G19:G20)</f>
        <v>3.04</v>
      </c>
      <c r="E24" s="19">
        <f>SUM(G21:G22)</f>
        <v>1.42</v>
      </c>
      <c r="F24" s="21">
        <v>0</v>
      </c>
      <c r="G24" s="23">
        <f>SUM(G18:G22)</f>
        <v>307.02999999999997</v>
      </c>
    </row>
    <row r="25" spans="2:7" hidden="1" x14ac:dyDescent="0.25"/>
    <row r="26" spans="2:7" hidden="1" x14ac:dyDescent="0.25"/>
    <row r="30" spans="2:7" ht="15.75" thickBot="1" x14ac:dyDescent="0.3"/>
    <row r="31" spans="2:7" ht="16.5" thickBot="1" x14ac:dyDescent="0.3">
      <c r="B31" s="383" t="s">
        <v>60</v>
      </c>
      <c r="C31" s="384"/>
      <c r="D31" s="384"/>
      <c r="E31" s="384"/>
      <c r="F31" s="384"/>
      <c r="G31" s="385"/>
    </row>
    <row r="32" spans="2:7" ht="65.25" customHeight="1" thickBot="1" x14ac:dyDescent="0.3">
      <c r="B32" s="380" t="s">
        <v>186</v>
      </c>
      <c r="C32" s="381"/>
      <c r="D32" s="381"/>
      <c r="E32" s="381"/>
      <c r="F32" s="381"/>
      <c r="G32" s="382"/>
    </row>
    <row r="33" spans="2:8" ht="15.75" thickBot="1" x14ac:dyDescent="0.3">
      <c r="B33" s="12" t="s">
        <v>34</v>
      </c>
      <c r="C33" s="13" t="s">
        <v>28</v>
      </c>
      <c r="D33" s="71" t="s">
        <v>29</v>
      </c>
      <c r="E33" s="71" t="s">
        <v>30</v>
      </c>
      <c r="F33" s="71" t="s">
        <v>31</v>
      </c>
      <c r="G33" s="72" t="s">
        <v>32</v>
      </c>
    </row>
    <row r="34" spans="2:8" x14ac:dyDescent="0.25">
      <c r="B34" s="10" t="s">
        <v>190</v>
      </c>
      <c r="C34" s="11" t="s">
        <v>244</v>
      </c>
      <c r="D34" s="70" t="s">
        <v>26</v>
      </c>
      <c r="E34" s="61">
        <v>1</v>
      </c>
      <c r="F34" s="85">
        <v>18.739999999999998</v>
      </c>
      <c r="G34" s="86">
        <f>E34*F34</f>
        <v>18.739999999999998</v>
      </c>
      <c r="H34" s="1">
        <v>7.88</v>
      </c>
    </row>
    <row r="35" spans="2:8" x14ac:dyDescent="0.25">
      <c r="B35" s="93" t="s">
        <v>191</v>
      </c>
      <c r="C35" s="5" t="s">
        <v>193</v>
      </c>
      <c r="D35" s="15" t="s">
        <v>87</v>
      </c>
      <c r="E35" s="1">
        <v>0.5</v>
      </c>
      <c r="F35" s="61">
        <v>5.0599999999999996</v>
      </c>
      <c r="G35" s="9">
        <f>ROUND(E35*F35,2)</f>
        <v>2.5299999999999998</v>
      </c>
      <c r="H35" s="1">
        <v>1.83</v>
      </c>
    </row>
    <row r="36" spans="2:8" ht="15.75" thickBot="1" x14ac:dyDescent="0.3">
      <c r="B36" s="92" t="s">
        <v>192</v>
      </c>
      <c r="C36" s="5" t="s">
        <v>194</v>
      </c>
      <c r="D36" s="15" t="s">
        <v>87</v>
      </c>
      <c r="E36" s="1">
        <v>0.5</v>
      </c>
      <c r="F36" s="61">
        <v>3.41</v>
      </c>
      <c r="G36" s="9">
        <f>ROUND(E36*F36,2)</f>
        <v>1.71</v>
      </c>
      <c r="H36" s="1">
        <v>1.78</v>
      </c>
    </row>
    <row r="37" spans="2:8" x14ac:dyDescent="0.25">
      <c r="B37" s="16" t="s">
        <v>41</v>
      </c>
      <c r="C37" s="24" t="s">
        <v>42</v>
      </c>
      <c r="D37" s="17" t="s">
        <v>43</v>
      </c>
      <c r="E37" s="17" t="s">
        <v>44</v>
      </c>
      <c r="F37" s="20" t="s">
        <v>45</v>
      </c>
      <c r="G37" s="22" t="s">
        <v>46</v>
      </c>
    </row>
    <row r="38" spans="2:8" ht="15.75" thickBot="1" x14ac:dyDescent="0.3">
      <c r="B38" s="18">
        <v>0</v>
      </c>
      <c r="C38" s="94">
        <f>G34</f>
        <v>18.739999999999998</v>
      </c>
      <c r="D38" s="94">
        <f>G35+G36</f>
        <v>4.24</v>
      </c>
      <c r="E38" s="19">
        <f>SUM(G35:G36)</f>
        <v>4.24</v>
      </c>
      <c r="F38" s="21">
        <v>0</v>
      </c>
      <c r="G38" s="87">
        <f>SUM(G34:G36)+0.01</f>
        <v>22.990000000000002</v>
      </c>
    </row>
  </sheetData>
  <mergeCells count="6">
    <mergeCell ref="B32:G32"/>
    <mergeCell ref="B3:G3"/>
    <mergeCell ref="B4:G4"/>
    <mergeCell ref="B15:G15"/>
    <mergeCell ref="B16:G16"/>
    <mergeCell ref="B31:G31"/>
  </mergeCells>
  <pageMargins left="1.1811023622047245" right="0.78740157480314965" top="0.78740157480314965" bottom="0.78740157480314965" header="0" footer="0"/>
  <pageSetup paperSize="9" scale="75" orientation="portrait"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4"/>
  <dimension ref="B1:I19"/>
  <sheetViews>
    <sheetView view="pageBreakPreview" zoomScaleNormal="100" zoomScaleSheetLayoutView="100" workbookViewId="0">
      <selection activeCell="B3" sqref="B3:I19"/>
    </sheetView>
  </sheetViews>
  <sheetFormatPr defaultRowHeight="15" x14ac:dyDescent="0.25"/>
  <cols>
    <col min="6" max="6" width="23.7109375" bestFit="1" customWidth="1"/>
    <col min="7" max="7" width="11.28515625" bestFit="1" customWidth="1"/>
    <col min="8" max="8" width="16.85546875" bestFit="1" customWidth="1"/>
    <col min="9" max="9" width="18.7109375" bestFit="1" customWidth="1"/>
  </cols>
  <sheetData>
    <row r="1" spans="2:9" ht="15.75" thickBot="1" x14ac:dyDescent="0.3"/>
    <row r="2" spans="2:9" ht="15.75" thickBot="1" x14ac:dyDescent="0.3">
      <c r="B2" s="88"/>
      <c r="C2" s="89"/>
      <c r="D2" s="89"/>
      <c r="E2" s="89"/>
      <c r="F2" s="91"/>
      <c r="G2" s="89"/>
      <c r="H2" s="89"/>
      <c r="I2" s="90"/>
    </row>
    <row r="3" spans="2:9" ht="15.75" x14ac:dyDescent="0.25">
      <c r="B3" s="400" t="s">
        <v>68</v>
      </c>
      <c r="C3" s="401"/>
      <c r="D3" s="401"/>
      <c r="E3" s="401"/>
      <c r="F3" s="401"/>
      <c r="G3" s="401"/>
      <c r="H3" s="401"/>
      <c r="I3" s="402"/>
    </row>
    <row r="4" spans="2:9" x14ac:dyDescent="0.25">
      <c r="B4" s="403" t="str">
        <f>Planilha!A3</f>
        <v>OBRA: REFORMA - SALA - ESCOLA ARUANDA - IFPB.</v>
      </c>
      <c r="C4" s="404"/>
      <c r="D4" s="404"/>
      <c r="E4" s="404"/>
      <c r="F4" s="404"/>
      <c r="G4" s="404"/>
      <c r="H4" s="404"/>
      <c r="I4" s="405"/>
    </row>
    <row r="5" spans="2:9" x14ac:dyDescent="0.25">
      <c r="B5" s="25" t="str">
        <f>Planilha!A4</f>
        <v>MÊS REFERÊNCIA DA PROPOSTA: MARÇO/2018</v>
      </c>
      <c r="C5" s="26"/>
      <c r="D5" s="26"/>
      <c r="E5" s="26"/>
      <c r="F5" s="26"/>
      <c r="G5" s="26"/>
      <c r="H5" s="26"/>
      <c r="I5" s="27"/>
    </row>
    <row r="6" spans="2:9" ht="16.5" x14ac:dyDescent="0.25">
      <c r="B6" s="66" t="s">
        <v>1</v>
      </c>
      <c r="C6" s="406" t="s">
        <v>3</v>
      </c>
      <c r="D6" s="406"/>
      <c r="E6" s="406"/>
      <c r="F6" s="67" t="s">
        <v>69</v>
      </c>
      <c r="G6" s="67" t="s">
        <v>70</v>
      </c>
      <c r="H6" s="68" t="s">
        <v>141</v>
      </c>
      <c r="I6" s="69" t="s">
        <v>7</v>
      </c>
    </row>
    <row r="7" spans="2:9" ht="16.5" customHeight="1" x14ac:dyDescent="0.25">
      <c r="B7" s="193" t="s">
        <v>9</v>
      </c>
      <c r="C7" s="407" t="str">
        <f>Planilha!C7</f>
        <v>SERVIÇOS PRELIMINARES</v>
      </c>
      <c r="D7" s="407"/>
      <c r="E7" s="407"/>
      <c r="F7" s="78">
        <f>Planilha!G7</f>
        <v>142.25</v>
      </c>
      <c r="G7" s="28">
        <f>F7/F17*100</f>
        <v>0.71965461536364295</v>
      </c>
      <c r="H7" s="2">
        <f>F7*0.2522</f>
        <v>35.875449999999994</v>
      </c>
      <c r="I7" s="29">
        <f>F7+H7</f>
        <v>178.12545</v>
      </c>
    </row>
    <row r="8" spans="2:9" ht="30.75" customHeight="1" x14ac:dyDescent="0.25">
      <c r="B8" s="193" t="s">
        <v>12</v>
      </c>
      <c r="C8" s="407" t="str">
        <f>Planilha!C10</f>
        <v>ALVENARIAS DE VEDAÇÃO E DIVISÓRIAS</v>
      </c>
      <c r="D8" s="407"/>
      <c r="E8" s="407"/>
      <c r="F8" s="78">
        <f>Planilha!G10</f>
        <v>2597.1975000000002</v>
      </c>
      <c r="G8" s="28">
        <f>F8/F17*100</f>
        <v>13.139438790059158</v>
      </c>
      <c r="H8" s="2">
        <f t="shared" ref="H8:H16" si="0">F8*0.2522</f>
        <v>655.01320950000002</v>
      </c>
      <c r="I8" s="29">
        <f t="shared" ref="I8:I16" si="1">F8+H8</f>
        <v>3252.2107095000001</v>
      </c>
    </row>
    <row r="9" spans="2:9" x14ac:dyDescent="0.25">
      <c r="B9" s="193" t="s">
        <v>17</v>
      </c>
      <c r="C9" s="393" t="str">
        <f>Planilha!C15</f>
        <v xml:space="preserve">ESQUADRIAS </v>
      </c>
      <c r="D9" s="393"/>
      <c r="E9" s="393"/>
      <c r="F9" s="78">
        <f>Planilha!G15</f>
        <v>1886.42</v>
      </c>
      <c r="G9" s="28">
        <f>F9/F17*100</f>
        <v>9.5435561301531351</v>
      </c>
      <c r="H9" s="2">
        <f t="shared" si="0"/>
        <v>475.75512399999997</v>
      </c>
      <c r="I9" s="29">
        <f t="shared" si="1"/>
        <v>2362.1751239999999</v>
      </c>
    </row>
    <row r="10" spans="2:9" x14ac:dyDescent="0.25">
      <c r="B10" s="193" t="s">
        <v>19</v>
      </c>
      <c r="C10" s="393" t="str">
        <f>Planilha!C19</f>
        <v>REVESTIMENTO</v>
      </c>
      <c r="D10" s="393"/>
      <c r="E10" s="393"/>
      <c r="F10" s="78">
        <f>Planilha!G19</f>
        <v>803.58616666666671</v>
      </c>
      <c r="G10" s="28">
        <f>F10/F17*100</f>
        <v>4.0654094459335273</v>
      </c>
      <c r="H10" s="2">
        <f t="shared" si="0"/>
        <v>202.66443123333332</v>
      </c>
      <c r="I10" s="29">
        <f t="shared" si="1"/>
        <v>1006.2505979</v>
      </c>
    </row>
    <row r="11" spans="2:9" x14ac:dyDescent="0.25">
      <c r="B11" s="193" t="s">
        <v>57</v>
      </c>
      <c r="C11" s="397" t="str">
        <f>Planilha!C24</f>
        <v>PINTURA</v>
      </c>
      <c r="D11" s="398"/>
      <c r="E11" s="399"/>
      <c r="F11" s="78">
        <f>Planilha!G24</f>
        <v>1699.62275</v>
      </c>
      <c r="G11" s="28">
        <f>F11/F17*100</f>
        <v>8.5985332612621939</v>
      </c>
      <c r="H11" s="2">
        <f t="shared" si="0"/>
        <v>428.64485754999998</v>
      </c>
      <c r="I11" s="29">
        <f t="shared" si="1"/>
        <v>2128.2676075499999</v>
      </c>
    </row>
    <row r="12" spans="2:9" x14ac:dyDescent="0.25">
      <c r="B12" s="193" t="s">
        <v>62</v>
      </c>
      <c r="C12" s="393" t="str">
        <f>Planilha!C30</f>
        <v>PISO</v>
      </c>
      <c r="D12" s="393"/>
      <c r="E12" s="393"/>
      <c r="F12" s="78">
        <f>Planilha!G30</f>
        <v>513.15</v>
      </c>
      <c r="G12" s="28">
        <f>F12/F17*100</f>
        <v>2.5960686528917636</v>
      </c>
      <c r="H12" s="2">
        <f t="shared" si="0"/>
        <v>129.41642999999999</v>
      </c>
      <c r="I12" s="29">
        <f t="shared" si="1"/>
        <v>642.56642999999997</v>
      </c>
    </row>
    <row r="13" spans="2:9" x14ac:dyDescent="0.25">
      <c r="B13" s="193" t="s">
        <v>66</v>
      </c>
      <c r="C13" s="397" t="str">
        <f>Planilha!C32</f>
        <v xml:space="preserve">INSTALAÇÕES ELÉTRICAS </v>
      </c>
      <c r="D13" s="398"/>
      <c r="E13" s="399"/>
      <c r="F13" s="78">
        <f>Planilha!G32</f>
        <v>8149.57</v>
      </c>
      <c r="G13" s="28">
        <f>F13/F17*100</f>
        <v>41.229354402313419</v>
      </c>
      <c r="H13" s="2">
        <f t="shared" si="0"/>
        <v>2055.3215539999997</v>
      </c>
      <c r="I13" s="29">
        <f t="shared" si="1"/>
        <v>10204.891554</v>
      </c>
    </row>
    <row r="14" spans="2:9" ht="30" customHeight="1" x14ac:dyDescent="0.25">
      <c r="B14" s="193" t="s">
        <v>128</v>
      </c>
      <c r="C14" s="394" t="str">
        <f>Planilha!C56</f>
        <v>CLIMATIZAÇÃO</v>
      </c>
      <c r="D14" s="395"/>
      <c r="E14" s="396"/>
      <c r="F14" s="78">
        <f>Planilha!G56</f>
        <v>1365.08</v>
      </c>
      <c r="G14" s="28">
        <f>F14/F17*100</f>
        <v>6.906053584116707</v>
      </c>
      <c r="H14" s="2">
        <f t="shared" si="0"/>
        <v>344.27317599999998</v>
      </c>
      <c r="I14" s="29">
        <f t="shared" si="1"/>
        <v>1709.3531759999998</v>
      </c>
    </row>
    <row r="15" spans="2:9" ht="30" customHeight="1" x14ac:dyDescent="0.25">
      <c r="B15" s="193" t="s">
        <v>133</v>
      </c>
      <c r="C15" s="394" t="str">
        <f>Planilha!C59</f>
        <v>CABEAMENTO ESTRUTURADO</v>
      </c>
      <c r="D15" s="395"/>
      <c r="E15" s="396"/>
      <c r="F15" s="78">
        <f>Planilha!G59</f>
        <v>2307.6</v>
      </c>
      <c r="G15" s="28">
        <f>F15/F17*100</f>
        <v>11.674340881638962</v>
      </c>
      <c r="H15" s="2">
        <f t="shared" si="0"/>
        <v>581.97671999999989</v>
      </c>
      <c r="I15" s="29">
        <f t="shared" si="1"/>
        <v>2889.57672</v>
      </c>
    </row>
    <row r="16" spans="2:9" s="220" customFormat="1" ht="30" customHeight="1" x14ac:dyDescent="0.25">
      <c r="B16" s="193" t="s">
        <v>513</v>
      </c>
      <c r="C16" s="394" t="str">
        <f>Planilha!C64</f>
        <v>SEVIÇOS COMPLEMENTARES</v>
      </c>
      <c r="D16" s="395"/>
      <c r="E16" s="396"/>
      <c r="F16" s="78">
        <f>Planilha!G64</f>
        <v>301.95</v>
      </c>
      <c r="G16" s="28">
        <f>F16/F17*100</f>
        <v>1.5275902362675007</v>
      </c>
      <c r="H16" s="2">
        <f t="shared" si="0"/>
        <v>76.151789999999991</v>
      </c>
      <c r="I16" s="29">
        <f t="shared" si="1"/>
        <v>378.10178999999999</v>
      </c>
    </row>
    <row r="17" spans="2:9" x14ac:dyDescent="0.25">
      <c r="B17" s="30"/>
      <c r="C17" s="386" t="s">
        <v>11</v>
      </c>
      <c r="D17" s="387"/>
      <c r="E17" s="31"/>
      <c r="F17" s="32">
        <f>SUM(F7:F16)</f>
        <v>19766.426416666665</v>
      </c>
      <c r="G17" s="33">
        <f>SUM(G7:G16)</f>
        <v>100.00000000000001</v>
      </c>
      <c r="H17" s="31"/>
      <c r="I17" s="390">
        <f>F19</f>
        <v>24751.52</v>
      </c>
    </row>
    <row r="18" spans="2:9" x14ac:dyDescent="0.25">
      <c r="B18" s="30"/>
      <c r="C18" s="386" t="s">
        <v>141</v>
      </c>
      <c r="D18" s="387"/>
      <c r="E18" s="31"/>
      <c r="F18" s="32">
        <f>ROUND(0.2522*F17,2)</f>
        <v>4985.09</v>
      </c>
      <c r="G18" s="31"/>
      <c r="H18" s="31"/>
      <c r="I18" s="391"/>
    </row>
    <row r="19" spans="2:9" ht="15.75" thickBot="1" x14ac:dyDescent="0.3">
      <c r="B19" s="34"/>
      <c r="C19" s="388" t="s">
        <v>25</v>
      </c>
      <c r="D19" s="389"/>
      <c r="E19" s="35"/>
      <c r="F19" s="36">
        <f>ROUND(SUM(F17:F18),2)</f>
        <v>24751.52</v>
      </c>
      <c r="G19" s="37"/>
      <c r="H19" s="37"/>
      <c r="I19" s="392"/>
    </row>
  </sheetData>
  <mergeCells count="17">
    <mergeCell ref="C9:E9"/>
    <mergeCell ref="B3:I3"/>
    <mergeCell ref="B4:I4"/>
    <mergeCell ref="C6:E6"/>
    <mergeCell ref="C8:E8"/>
    <mergeCell ref="C7:E7"/>
    <mergeCell ref="C18:D18"/>
    <mergeCell ref="C19:D19"/>
    <mergeCell ref="I17:I19"/>
    <mergeCell ref="C10:E10"/>
    <mergeCell ref="C12:E12"/>
    <mergeCell ref="C14:E14"/>
    <mergeCell ref="C17:D17"/>
    <mergeCell ref="C11:E11"/>
    <mergeCell ref="C13:E13"/>
    <mergeCell ref="C15:E15"/>
    <mergeCell ref="C16:E16"/>
  </mergeCells>
  <pageMargins left="0.78740157480314965" right="0.78740157480314965" top="0.78740157480314965" bottom="0.78740157480314965" header="0" footer="0"/>
  <pageSetup paperSize="9" scale="79" orientation="portrait" verticalDpi="300"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49"/>
  <dimension ref="B2:H38"/>
  <sheetViews>
    <sheetView view="pageBreakPreview" zoomScaleNormal="100" zoomScaleSheetLayoutView="100" workbookViewId="0">
      <selection activeCell="B34" sqref="B34:G38"/>
    </sheetView>
  </sheetViews>
  <sheetFormatPr defaultRowHeight="15" x14ac:dyDescent="0.25"/>
  <cols>
    <col min="2" max="2" width="12.85546875" bestFit="1" customWidth="1"/>
    <col min="3" max="3" width="44.85546875" customWidth="1"/>
    <col min="4" max="4" width="12.7109375" bestFit="1" customWidth="1"/>
    <col min="5" max="5" width="10.140625" bestFit="1" customWidth="1"/>
    <col min="6" max="6" width="10.28515625" bestFit="1" customWidth="1"/>
    <col min="7" max="7" width="15.5703125" bestFit="1" customWidth="1"/>
    <col min="8" max="8" width="0" hidden="1" customWidth="1"/>
  </cols>
  <sheetData>
    <row r="2" spans="2:7" ht="15.75" hidden="1" thickBot="1" x14ac:dyDescent="0.3"/>
    <row r="3" spans="2:7" ht="16.5" hidden="1" thickBot="1" x14ac:dyDescent="0.3">
      <c r="B3" s="383" t="s">
        <v>60</v>
      </c>
      <c r="C3" s="384"/>
      <c r="D3" s="384"/>
      <c r="E3" s="384"/>
      <c r="F3" s="384"/>
      <c r="G3" s="385"/>
    </row>
    <row r="4" spans="2:7" ht="60" hidden="1" customHeight="1" thickBot="1" x14ac:dyDescent="0.3">
      <c r="B4" s="380" t="s">
        <v>78</v>
      </c>
      <c r="C4" s="381"/>
      <c r="D4" s="381"/>
      <c r="E4" s="381"/>
      <c r="F4" s="381"/>
      <c r="G4" s="382"/>
    </row>
    <row r="5" spans="2:7" ht="15.75" hidden="1" thickBot="1" x14ac:dyDescent="0.3">
      <c r="B5" s="12" t="s">
        <v>34</v>
      </c>
      <c r="C5" s="13" t="s">
        <v>28</v>
      </c>
      <c r="D5" s="71" t="s">
        <v>29</v>
      </c>
      <c r="E5" s="71" t="s">
        <v>30</v>
      </c>
      <c r="F5" s="71" t="s">
        <v>31</v>
      </c>
      <c r="G5" s="72" t="s">
        <v>32</v>
      </c>
    </row>
    <row r="6" spans="2:7" hidden="1" x14ac:dyDescent="0.25">
      <c r="B6" s="10" t="s">
        <v>0</v>
      </c>
      <c r="C6" s="11" t="s">
        <v>88</v>
      </c>
      <c r="D6" s="70" t="s">
        <v>29</v>
      </c>
      <c r="E6" s="8">
        <v>1</v>
      </c>
      <c r="F6" s="8">
        <v>107.5</v>
      </c>
      <c r="G6" s="9">
        <v>107.5</v>
      </c>
    </row>
    <row r="7" spans="2:7" hidden="1" x14ac:dyDescent="0.25">
      <c r="B7" s="6" t="s">
        <v>83</v>
      </c>
      <c r="C7" s="5" t="s">
        <v>79</v>
      </c>
      <c r="D7" s="15" t="s">
        <v>87</v>
      </c>
      <c r="E7" s="1">
        <v>0.25</v>
      </c>
      <c r="F7" s="1">
        <v>4.05</v>
      </c>
      <c r="G7" s="9">
        <f>ROUND(E7*F7,2)</f>
        <v>1.01</v>
      </c>
    </row>
    <row r="8" spans="2:7" hidden="1" x14ac:dyDescent="0.25">
      <c r="B8" s="7" t="s">
        <v>84</v>
      </c>
      <c r="C8" s="5" t="s">
        <v>80</v>
      </c>
      <c r="D8" s="15" t="s">
        <v>87</v>
      </c>
      <c r="E8" s="1">
        <v>0.5</v>
      </c>
      <c r="F8" s="1">
        <v>4.05</v>
      </c>
      <c r="G8" s="9">
        <f>ROUND(E8*F8,2)</f>
        <v>2.0299999999999998</v>
      </c>
    </row>
    <row r="9" spans="2:7" hidden="1" x14ac:dyDescent="0.25">
      <c r="B9" s="6" t="s">
        <v>85</v>
      </c>
      <c r="C9" s="5" t="s">
        <v>81</v>
      </c>
      <c r="D9" s="15" t="s">
        <v>87</v>
      </c>
      <c r="E9" s="1">
        <v>0.5</v>
      </c>
      <c r="F9" s="1">
        <v>1.83</v>
      </c>
      <c r="G9" s="9">
        <f>ROUND(E9*F9,2)</f>
        <v>0.92</v>
      </c>
    </row>
    <row r="10" spans="2:7" ht="15.75" hidden="1" thickBot="1" x14ac:dyDescent="0.3">
      <c r="B10" s="6" t="s">
        <v>86</v>
      </c>
      <c r="C10" s="4" t="s">
        <v>82</v>
      </c>
      <c r="D10" s="15" t="s">
        <v>87</v>
      </c>
      <c r="E10" s="1">
        <v>0.25</v>
      </c>
      <c r="F10" s="1">
        <v>2.0099999999999998</v>
      </c>
      <c r="G10" s="9">
        <f>ROUND(E10*F10,2)</f>
        <v>0.5</v>
      </c>
    </row>
    <row r="11" spans="2:7" hidden="1" x14ac:dyDescent="0.25">
      <c r="B11" s="16" t="s">
        <v>41</v>
      </c>
      <c r="C11" s="24" t="s">
        <v>42</v>
      </c>
      <c r="D11" s="17" t="s">
        <v>43</v>
      </c>
      <c r="E11" s="17" t="s">
        <v>44</v>
      </c>
      <c r="F11" s="20" t="s">
        <v>45</v>
      </c>
      <c r="G11" s="22" t="s">
        <v>46</v>
      </c>
    </row>
    <row r="12" spans="2:7" ht="15.75" hidden="1" thickBot="1" x14ac:dyDescent="0.3">
      <c r="B12" s="18">
        <v>0</v>
      </c>
      <c r="C12" s="19">
        <f>G6</f>
        <v>107.5</v>
      </c>
      <c r="D12" s="19">
        <f>SUM(G7:G8)</f>
        <v>3.04</v>
      </c>
      <c r="E12" s="19">
        <f>SUM(G9:G10)</f>
        <v>1.42</v>
      </c>
      <c r="F12" s="21">
        <v>0</v>
      </c>
      <c r="G12" s="23">
        <f>SUM(G6:G10)</f>
        <v>111.96000000000001</v>
      </c>
    </row>
    <row r="13" spans="2:7" hidden="1" x14ac:dyDescent="0.25"/>
    <row r="14" spans="2:7" ht="15.75" hidden="1" thickBot="1" x14ac:dyDescent="0.3"/>
    <row r="15" spans="2:7" ht="16.5" hidden="1" thickBot="1" x14ac:dyDescent="0.3">
      <c r="B15" s="383" t="s">
        <v>60</v>
      </c>
      <c r="C15" s="384"/>
      <c r="D15" s="384"/>
      <c r="E15" s="384"/>
      <c r="F15" s="384"/>
      <c r="G15" s="385"/>
    </row>
    <row r="16" spans="2:7" ht="61.5" hidden="1" customHeight="1" thickBot="1" x14ac:dyDescent="0.3">
      <c r="B16" s="380" t="s">
        <v>89</v>
      </c>
      <c r="C16" s="381"/>
      <c r="D16" s="381"/>
      <c r="E16" s="381"/>
      <c r="F16" s="381"/>
      <c r="G16" s="382"/>
    </row>
    <row r="17" spans="2:7" ht="15.75" hidden="1" thickBot="1" x14ac:dyDescent="0.3">
      <c r="B17" s="12" t="s">
        <v>34</v>
      </c>
      <c r="C17" s="13" t="s">
        <v>28</v>
      </c>
      <c r="D17" s="71" t="s">
        <v>29</v>
      </c>
      <c r="E17" s="71" t="s">
        <v>30</v>
      </c>
      <c r="F17" s="71" t="s">
        <v>31</v>
      </c>
      <c r="G17" s="72" t="s">
        <v>32</v>
      </c>
    </row>
    <row r="18" spans="2:7" ht="15.75" hidden="1" customHeight="1" x14ac:dyDescent="0.25">
      <c r="B18" s="10" t="s">
        <v>0</v>
      </c>
      <c r="C18" s="11" t="s">
        <v>90</v>
      </c>
      <c r="D18" s="70" t="s">
        <v>29</v>
      </c>
      <c r="E18" s="8">
        <v>1</v>
      </c>
      <c r="F18" s="8">
        <v>107.5</v>
      </c>
      <c r="G18" s="9">
        <v>302.57</v>
      </c>
    </row>
    <row r="19" spans="2:7" hidden="1" x14ac:dyDescent="0.25">
      <c r="B19" s="6" t="s">
        <v>83</v>
      </c>
      <c r="C19" s="5" t="s">
        <v>79</v>
      </c>
      <c r="D19" s="15" t="s">
        <v>87</v>
      </c>
      <c r="E19" s="1">
        <v>0.25</v>
      </c>
      <c r="F19" s="1">
        <v>4.05</v>
      </c>
      <c r="G19" s="9">
        <f>ROUND(E19*F19,2)</f>
        <v>1.01</v>
      </c>
    </row>
    <row r="20" spans="2:7" hidden="1" x14ac:dyDescent="0.25">
      <c r="B20" s="7" t="s">
        <v>84</v>
      </c>
      <c r="C20" s="5" t="s">
        <v>80</v>
      </c>
      <c r="D20" s="15" t="s">
        <v>87</v>
      </c>
      <c r="E20" s="1">
        <v>0.5</v>
      </c>
      <c r="F20" s="1">
        <v>4.05</v>
      </c>
      <c r="G20" s="9">
        <f>ROUND(E20*F20,2)</f>
        <v>2.0299999999999998</v>
      </c>
    </row>
    <row r="21" spans="2:7" hidden="1" x14ac:dyDescent="0.25">
      <c r="B21" s="6" t="s">
        <v>85</v>
      </c>
      <c r="C21" s="5" t="s">
        <v>81</v>
      </c>
      <c r="D21" s="15" t="s">
        <v>87</v>
      </c>
      <c r="E21" s="1">
        <v>0.5</v>
      </c>
      <c r="F21" s="1">
        <v>1.83</v>
      </c>
      <c r="G21" s="9">
        <f>ROUND(E21*F21,2)</f>
        <v>0.92</v>
      </c>
    </row>
    <row r="22" spans="2:7" ht="15.75" hidden="1" thickBot="1" x14ac:dyDescent="0.3">
      <c r="B22" s="6" t="s">
        <v>86</v>
      </c>
      <c r="C22" s="4" t="s">
        <v>82</v>
      </c>
      <c r="D22" s="15" t="s">
        <v>87</v>
      </c>
      <c r="E22" s="1">
        <v>0.25</v>
      </c>
      <c r="F22" s="1">
        <v>2.0099999999999998</v>
      </c>
      <c r="G22" s="9">
        <f>ROUND(E22*F22,2)</f>
        <v>0.5</v>
      </c>
    </row>
    <row r="23" spans="2:7" hidden="1" x14ac:dyDescent="0.25">
      <c r="B23" s="16" t="s">
        <v>41</v>
      </c>
      <c r="C23" s="24" t="s">
        <v>42</v>
      </c>
      <c r="D23" s="17" t="s">
        <v>43</v>
      </c>
      <c r="E23" s="17" t="s">
        <v>44</v>
      </c>
      <c r="F23" s="20" t="s">
        <v>45</v>
      </c>
      <c r="G23" s="22" t="s">
        <v>46</v>
      </c>
    </row>
    <row r="24" spans="2:7" ht="15.75" hidden="1" thickBot="1" x14ac:dyDescent="0.3">
      <c r="B24" s="18">
        <v>0</v>
      </c>
      <c r="C24" s="19">
        <f>G18</f>
        <v>302.57</v>
      </c>
      <c r="D24" s="19">
        <f>SUM(G19:G20)</f>
        <v>3.04</v>
      </c>
      <c r="E24" s="19">
        <f>SUM(G21:G22)</f>
        <v>1.42</v>
      </c>
      <c r="F24" s="21">
        <v>0</v>
      </c>
      <c r="G24" s="23">
        <f>SUM(G18:G22)</f>
        <v>307.02999999999997</v>
      </c>
    </row>
    <row r="25" spans="2:7" hidden="1" x14ac:dyDescent="0.25"/>
    <row r="30" spans="2:7" ht="15.75" thickBot="1" x14ac:dyDescent="0.3"/>
    <row r="31" spans="2:7" ht="16.5" thickBot="1" x14ac:dyDescent="0.3">
      <c r="B31" s="383" t="s">
        <v>60</v>
      </c>
      <c r="C31" s="384"/>
      <c r="D31" s="384"/>
      <c r="E31" s="384"/>
      <c r="F31" s="384"/>
      <c r="G31" s="385"/>
    </row>
    <row r="32" spans="2:7" ht="65.25" customHeight="1" thickBot="1" x14ac:dyDescent="0.3">
      <c r="B32" s="380" t="s">
        <v>187</v>
      </c>
      <c r="C32" s="381"/>
      <c r="D32" s="381"/>
      <c r="E32" s="381"/>
      <c r="F32" s="381"/>
      <c r="G32" s="382"/>
    </row>
    <row r="33" spans="2:8" ht="15.75" thickBot="1" x14ac:dyDescent="0.3">
      <c r="B33" s="12" t="s">
        <v>34</v>
      </c>
      <c r="C33" s="13" t="s">
        <v>28</v>
      </c>
      <c r="D33" s="71" t="s">
        <v>29</v>
      </c>
      <c r="E33" s="71" t="s">
        <v>30</v>
      </c>
      <c r="F33" s="71" t="s">
        <v>31</v>
      </c>
      <c r="G33" s="72" t="s">
        <v>32</v>
      </c>
    </row>
    <row r="34" spans="2:8" x14ac:dyDescent="0.25">
      <c r="B34" s="10" t="s">
        <v>190</v>
      </c>
      <c r="C34" s="11" t="s">
        <v>245</v>
      </c>
      <c r="D34" s="70" t="s">
        <v>246</v>
      </c>
      <c r="E34" s="61">
        <v>1</v>
      </c>
      <c r="F34" s="85">
        <v>56.61</v>
      </c>
      <c r="G34" s="86">
        <f>E34*F34</f>
        <v>56.61</v>
      </c>
      <c r="H34" s="1">
        <v>7.88</v>
      </c>
    </row>
    <row r="35" spans="2:8" x14ac:dyDescent="0.25">
      <c r="B35" s="93" t="s">
        <v>191</v>
      </c>
      <c r="C35" s="5" t="s">
        <v>193</v>
      </c>
      <c r="D35" s="15" t="s">
        <v>87</v>
      </c>
      <c r="E35" s="1">
        <v>1</v>
      </c>
      <c r="F35" s="61">
        <v>5.0599999999999996</v>
      </c>
      <c r="G35" s="9">
        <f>ROUND(E35*F35,2)</f>
        <v>5.0599999999999996</v>
      </c>
      <c r="H35" s="1">
        <v>1.83</v>
      </c>
    </row>
    <row r="36" spans="2:8" ht="15.75" thickBot="1" x14ac:dyDescent="0.3">
      <c r="B36" s="92" t="s">
        <v>192</v>
      </c>
      <c r="C36" s="5" t="s">
        <v>194</v>
      </c>
      <c r="D36" s="15" t="s">
        <v>87</v>
      </c>
      <c r="E36" s="1">
        <v>1</v>
      </c>
      <c r="F36" s="61">
        <v>3.41</v>
      </c>
      <c r="G36" s="9">
        <f>ROUND(E36*F36,2)</f>
        <v>3.41</v>
      </c>
      <c r="H36" s="1">
        <v>1.78</v>
      </c>
    </row>
    <row r="37" spans="2:8" x14ac:dyDescent="0.25">
      <c r="B37" s="16" t="s">
        <v>41</v>
      </c>
      <c r="C37" s="24" t="s">
        <v>42</v>
      </c>
      <c r="D37" s="17" t="s">
        <v>43</v>
      </c>
      <c r="E37" s="17" t="s">
        <v>44</v>
      </c>
      <c r="F37" s="20" t="s">
        <v>45</v>
      </c>
      <c r="G37" s="22" t="s">
        <v>46</v>
      </c>
    </row>
    <row r="38" spans="2:8" ht="15.75" thickBot="1" x14ac:dyDescent="0.3">
      <c r="B38" s="18">
        <v>0</v>
      </c>
      <c r="C38" s="94">
        <f>G34</f>
        <v>56.61</v>
      </c>
      <c r="D38" s="94">
        <f>G35+G36</f>
        <v>8.4699999999999989</v>
      </c>
      <c r="E38" s="19">
        <f>SUM(G35:G36)</f>
        <v>8.4699999999999989</v>
      </c>
      <c r="F38" s="21">
        <v>0</v>
      </c>
      <c r="G38" s="87">
        <f>SUM(G34:G36)+0.01</f>
        <v>65.09</v>
      </c>
    </row>
  </sheetData>
  <mergeCells count="6">
    <mergeCell ref="B32:G32"/>
    <mergeCell ref="B3:G3"/>
    <mergeCell ref="B4:G4"/>
    <mergeCell ref="B15:G15"/>
    <mergeCell ref="B16:G16"/>
    <mergeCell ref="B31:G31"/>
  </mergeCells>
  <pageMargins left="1.1811023622047245" right="0.78740157480314965" top="0.78740157480314965" bottom="0.78740157480314965" header="0" footer="0"/>
  <pageSetup paperSize="9" scale="75" orientation="portrait" verticalDpi="300"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50"/>
  <dimension ref="B2:H38"/>
  <sheetViews>
    <sheetView view="pageBreakPreview" zoomScaleNormal="100" zoomScaleSheetLayoutView="100" workbookViewId="0">
      <selection activeCell="B34" sqref="B34:G38"/>
    </sheetView>
  </sheetViews>
  <sheetFormatPr defaultRowHeight="15" x14ac:dyDescent="0.25"/>
  <cols>
    <col min="2" max="2" width="12.85546875" bestFit="1" customWidth="1"/>
    <col min="3" max="3" width="44.85546875" customWidth="1"/>
    <col min="4" max="4" width="12.7109375" bestFit="1" customWidth="1"/>
    <col min="5" max="5" width="10.140625" bestFit="1" customWidth="1"/>
    <col min="6" max="6" width="10.28515625" bestFit="1" customWidth="1"/>
    <col min="7" max="7" width="15.5703125" bestFit="1" customWidth="1"/>
    <col min="8" max="8" width="0" hidden="1" customWidth="1"/>
  </cols>
  <sheetData>
    <row r="2" spans="2:7" ht="15.75" hidden="1" thickBot="1" x14ac:dyDescent="0.3"/>
    <row r="3" spans="2:7" ht="16.5" hidden="1" thickBot="1" x14ac:dyDescent="0.3">
      <c r="B3" s="383" t="s">
        <v>60</v>
      </c>
      <c r="C3" s="384"/>
      <c r="D3" s="384"/>
      <c r="E3" s="384"/>
      <c r="F3" s="384"/>
      <c r="G3" s="385"/>
    </row>
    <row r="4" spans="2:7" ht="60" hidden="1" customHeight="1" thickBot="1" x14ac:dyDescent="0.3">
      <c r="B4" s="380" t="s">
        <v>78</v>
      </c>
      <c r="C4" s="381"/>
      <c r="D4" s="381"/>
      <c r="E4" s="381"/>
      <c r="F4" s="381"/>
      <c r="G4" s="382"/>
    </row>
    <row r="5" spans="2:7" ht="15.75" hidden="1" thickBot="1" x14ac:dyDescent="0.3">
      <c r="B5" s="12" t="s">
        <v>34</v>
      </c>
      <c r="C5" s="13" t="s">
        <v>28</v>
      </c>
      <c r="D5" s="71" t="s">
        <v>29</v>
      </c>
      <c r="E5" s="71" t="s">
        <v>30</v>
      </c>
      <c r="F5" s="71" t="s">
        <v>31</v>
      </c>
      <c r="G5" s="72" t="s">
        <v>32</v>
      </c>
    </row>
    <row r="6" spans="2:7" hidden="1" x14ac:dyDescent="0.25">
      <c r="B6" s="10" t="s">
        <v>0</v>
      </c>
      <c r="C6" s="11" t="s">
        <v>88</v>
      </c>
      <c r="D6" s="70" t="s">
        <v>29</v>
      </c>
      <c r="E6" s="8">
        <v>1</v>
      </c>
      <c r="F6" s="8">
        <v>107.5</v>
      </c>
      <c r="G6" s="9">
        <v>107.5</v>
      </c>
    </row>
    <row r="7" spans="2:7" hidden="1" x14ac:dyDescent="0.25">
      <c r="B7" s="6" t="s">
        <v>83</v>
      </c>
      <c r="C7" s="5" t="s">
        <v>79</v>
      </c>
      <c r="D7" s="15" t="s">
        <v>87</v>
      </c>
      <c r="E7" s="1">
        <v>0.25</v>
      </c>
      <c r="F7" s="1">
        <v>4.05</v>
      </c>
      <c r="G7" s="9">
        <f>ROUND(E7*F7,2)</f>
        <v>1.01</v>
      </c>
    </row>
    <row r="8" spans="2:7" hidden="1" x14ac:dyDescent="0.25">
      <c r="B8" s="7" t="s">
        <v>84</v>
      </c>
      <c r="C8" s="5" t="s">
        <v>80</v>
      </c>
      <c r="D8" s="15" t="s">
        <v>87</v>
      </c>
      <c r="E8" s="1">
        <v>0.5</v>
      </c>
      <c r="F8" s="1">
        <v>4.05</v>
      </c>
      <c r="G8" s="9">
        <f>ROUND(E8*F8,2)</f>
        <v>2.0299999999999998</v>
      </c>
    </row>
    <row r="9" spans="2:7" hidden="1" x14ac:dyDescent="0.25">
      <c r="B9" s="6" t="s">
        <v>85</v>
      </c>
      <c r="C9" s="5" t="s">
        <v>81</v>
      </c>
      <c r="D9" s="15" t="s">
        <v>87</v>
      </c>
      <c r="E9" s="1">
        <v>0.5</v>
      </c>
      <c r="F9" s="1">
        <v>1.83</v>
      </c>
      <c r="G9" s="9">
        <f>ROUND(E9*F9,2)</f>
        <v>0.92</v>
      </c>
    </row>
    <row r="10" spans="2:7" ht="15.75" hidden="1" thickBot="1" x14ac:dyDescent="0.3">
      <c r="B10" s="6" t="s">
        <v>86</v>
      </c>
      <c r="C10" s="4" t="s">
        <v>82</v>
      </c>
      <c r="D10" s="15" t="s">
        <v>87</v>
      </c>
      <c r="E10" s="1">
        <v>0.25</v>
      </c>
      <c r="F10" s="1">
        <v>2.0099999999999998</v>
      </c>
      <c r="G10" s="9">
        <f>ROUND(E10*F10,2)</f>
        <v>0.5</v>
      </c>
    </row>
    <row r="11" spans="2:7" hidden="1" x14ac:dyDescent="0.25">
      <c r="B11" s="16" t="s">
        <v>41</v>
      </c>
      <c r="C11" s="24" t="s">
        <v>42</v>
      </c>
      <c r="D11" s="17" t="s">
        <v>43</v>
      </c>
      <c r="E11" s="17" t="s">
        <v>44</v>
      </c>
      <c r="F11" s="20" t="s">
        <v>45</v>
      </c>
      <c r="G11" s="22" t="s">
        <v>46</v>
      </c>
    </row>
    <row r="12" spans="2:7" ht="15.75" hidden="1" thickBot="1" x14ac:dyDescent="0.3">
      <c r="B12" s="18">
        <v>0</v>
      </c>
      <c r="C12" s="19">
        <f>G6</f>
        <v>107.5</v>
      </c>
      <c r="D12" s="19">
        <f>SUM(G7:G8)</f>
        <v>3.04</v>
      </c>
      <c r="E12" s="19">
        <f>SUM(G9:G10)</f>
        <v>1.42</v>
      </c>
      <c r="F12" s="21">
        <v>0</v>
      </c>
      <c r="G12" s="23">
        <f>SUM(G6:G10)</f>
        <v>111.96000000000001</v>
      </c>
    </row>
    <row r="13" spans="2:7" hidden="1" x14ac:dyDescent="0.25"/>
    <row r="14" spans="2:7" ht="15.75" hidden="1" thickBot="1" x14ac:dyDescent="0.3"/>
    <row r="15" spans="2:7" ht="16.5" hidden="1" thickBot="1" x14ac:dyDescent="0.3">
      <c r="B15" s="383" t="s">
        <v>60</v>
      </c>
      <c r="C15" s="384"/>
      <c r="D15" s="384"/>
      <c r="E15" s="384"/>
      <c r="F15" s="384"/>
      <c r="G15" s="385"/>
    </row>
    <row r="16" spans="2:7" ht="61.5" hidden="1" customHeight="1" thickBot="1" x14ac:dyDescent="0.3">
      <c r="B16" s="380" t="s">
        <v>89</v>
      </c>
      <c r="C16" s="381"/>
      <c r="D16" s="381"/>
      <c r="E16" s="381"/>
      <c r="F16" s="381"/>
      <c r="G16" s="382"/>
    </row>
    <row r="17" spans="2:7" ht="15.75" hidden="1" thickBot="1" x14ac:dyDescent="0.3">
      <c r="B17" s="12" t="s">
        <v>34</v>
      </c>
      <c r="C17" s="13" t="s">
        <v>28</v>
      </c>
      <c r="D17" s="71" t="s">
        <v>29</v>
      </c>
      <c r="E17" s="71" t="s">
        <v>30</v>
      </c>
      <c r="F17" s="71" t="s">
        <v>31</v>
      </c>
      <c r="G17" s="72" t="s">
        <v>32</v>
      </c>
    </row>
    <row r="18" spans="2:7" ht="15.75" hidden="1" customHeight="1" x14ac:dyDescent="0.25">
      <c r="B18" s="10" t="s">
        <v>0</v>
      </c>
      <c r="C18" s="11" t="s">
        <v>90</v>
      </c>
      <c r="D18" s="70" t="s">
        <v>29</v>
      </c>
      <c r="E18" s="8">
        <v>1</v>
      </c>
      <c r="F18" s="8">
        <v>107.5</v>
      </c>
      <c r="G18" s="9">
        <v>302.57</v>
      </c>
    </row>
    <row r="19" spans="2:7" hidden="1" x14ac:dyDescent="0.25">
      <c r="B19" s="6" t="s">
        <v>83</v>
      </c>
      <c r="C19" s="5" t="s">
        <v>79</v>
      </c>
      <c r="D19" s="15" t="s">
        <v>87</v>
      </c>
      <c r="E19" s="1">
        <v>0.25</v>
      </c>
      <c r="F19" s="1">
        <v>4.05</v>
      </c>
      <c r="G19" s="9">
        <f>ROUND(E19*F19,2)</f>
        <v>1.01</v>
      </c>
    </row>
    <row r="20" spans="2:7" hidden="1" x14ac:dyDescent="0.25">
      <c r="B20" s="7" t="s">
        <v>84</v>
      </c>
      <c r="C20" s="5" t="s">
        <v>80</v>
      </c>
      <c r="D20" s="15" t="s">
        <v>87</v>
      </c>
      <c r="E20" s="1">
        <v>0.5</v>
      </c>
      <c r="F20" s="1">
        <v>4.05</v>
      </c>
      <c r="G20" s="9">
        <f>ROUND(E20*F20,2)</f>
        <v>2.0299999999999998</v>
      </c>
    </row>
    <row r="21" spans="2:7" hidden="1" x14ac:dyDescent="0.25">
      <c r="B21" s="6" t="s">
        <v>85</v>
      </c>
      <c r="C21" s="5" t="s">
        <v>81</v>
      </c>
      <c r="D21" s="15" t="s">
        <v>87</v>
      </c>
      <c r="E21" s="1">
        <v>0.5</v>
      </c>
      <c r="F21" s="1">
        <v>1.83</v>
      </c>
      <c r="G21" s="9">
        <f>ROUND(E21*F21,2)</f>
        <v>0.92</v>
      </c>
    </row>
    <row r="22" spans="2:7" ht="15.75" hidden="1" thickBot="1" x14ac:dyDescent="0.3">
      <c r="B22" s="6" t="s">
        <v>86</v>
      </c>
      <c r="C22" s="4" t="s">
        <v>82</v>
      </c>
      <c r="D22" s="15" t="s">
        <v>87</v>
      </c>
      <c r="E22" s="1">
        <v>0.25</v>
      </c>
      <c r="F22" s="1">
        <v>2.0099999999999998</v>
      </c>
      <c r="G22" s="9">
        <f>ROUND(E22*F22,2)</f>
        <v>0.5</v>
      </c>
    </row>
    <row r="23" spans="2:7" hidden="1" x14ac:dyDescent="0.25">
      <c r="B23" s="16" t="s">
        <v>41</v>
      </c>
      <c r="C23" s="24" t="s">
        <v>42</v>
      </c>
      <c r="D23" s="17" t="s">
        <v>43</v>
      </c>
      <c r="E23" s="17" t="s">
        <v>44</v>
      </c>
      <c r="F23" s="20" t="s">
        <v>45</v>
      </c>
      <c r="G23" s="22" t="s">
        <v>46</v>
      </c>
    </row>
    <row r="24" spans="2:7" ht="15.75" hidden="1" thickBot="1" x14ac:dyDescent="0.3">
      <c r="B24" s="18">
        <v>0</v>
      </c>
      <c r="C24" s="19">
        <f>G18</f>
        <v>302.57</v>
      </c>
      <c r="D24" s="19">
        <f>SUM(G19:G20)</f>
        <v>3.04</v>
      </c>
      <c r="E24" s="19">
        <f>SUM(G21:G22)</f>
        <v>1.42</v>
      </c>
      <c r="F24" s="21">
        <v>0</v>
      </c>
      <c r="G24" s="23">
        <f>SUM(G18:G22)</f>
        <v>307.02999999999997</v>
      </c>
    </row>
    <row r="25" spans="2:7" hidden="1" x14ac:dyDescent="0.25"/>
    <row r="26" spans="2:7" hidden="1" x14ac:dyDescent="0.25"/>
    <row r="30" spans="2:7" ht="15.75" thickBot="1" x14ac:dyDescent="0.3"/>
    <row r="31" spans="2:7" ht="16.5" thickBot="1" x14ac:dyDescent="0.3">
      <c r="B31" s="383" t="s">
        <v>60</v>
      </c>
      <c r="C31" s="384"/>
      <c r="D31" s="384"/>
      <c r="E31" s="384"/>
      <c r="F31" s="384"/>
      <c r="G31" s="385"/>
    </row>
    <row r="32" spans="2:7" ht="65.25" customHeight="1" thickBot="1" x14ac:dyDescent="0.3">
      <c r="B32" s="380" t="s">
        <v>188</v>
      </c>
      <c r="C32" s="381"/>
      <c r="D32" s="381"/>
      <c r="E32" s="381"/>
      <c r="F32" s="381"/>
      <c r="G32" s="382"/>
    </row>
    <row r="33" spans="2:8" ht="15.75" thickBot="1" x14ac:dyDescent="0.3">
      <c r="B33" s="12" t="s">
        <v>34</v>
      </c>
      <c r="C33" s="13" t="s">
        <v>28</v>
      </c>
      <c r="D33" s="71" t="s">
        <v>29</v>
      </c>
      <c r="E33" s="71" t="s">
        <v>30</v>
      </c>
      <c r="F33" s="71" t="s">
        <v>31</v>
      </c>
      <c r="G33" s="72" t="s">
        <v>32</v>
      </c>
    </row>
    <row r="34" spans="2:8" x14ac:dyDescent="0.25">
      <c r="B34" s="10" t="s">
        <v>190</v>
      </c>
      <c r="C34" s="11" t="s">
        <v>247</v>
      </c>
      <c r="D34" s="70" t="s">
        <v>26</v>
      </c>
      <c r="E34" s="61">
        <v>1</v>
      </c>
      <c r="F34" s="85">
        <v>0.75</v>
      </c>
      <c r="G34" s="86">
        <f>E34*F34</f>
        <v>0.75</v>
      </c>
      <c r="H34" s="1">
        <v>7.88</v>
      </c>
    </row>
    <row r="35" spans="2:8" x14ac:dyDescent="0.25">
      <c r="B35" s="93" t="s">
        <v>191</v>
      </c>
      <c r="C35" s="5" t="s">
        <v>193</v>
      </c>
      <c r="D35" s="15" t="s">
        <v>87</v>
      </c>
      <c r="E35" s="1">
        <v>0.1</v>
      </c>
      <c r="F35" s="61">
        <v>5.0599999999999996</v>
      </c>
      <c r="G35" s="9">
        <f>ROUND(E35*F35,2)</f>
        <v>0.51</v>
      </c>
      <c r="H35" s="1">
        <v>1.83</v>
      </c>
    </row>
    <row r="36" spans="2:8" ht="15.75" thickBot="1" x14ac:dyDescent="0.3">
      <c r="B36" s="92" t="s">
        <v>192</v>
      </c>
      <c r="C36" s="5" t="s">
        <v>194</v>
      </c>
      <c r="D36" s="15" t="s">
        <v>87</v>
      </c>
      <c r="E36" s="1">
        <v>0.1</v>
      </c>
      <c r="F36" s="61">
        <v>3.41</v>
      </c>
      <c r="G36" s="9">
        <f>ROUND(E36*F36,2)</f>
        <v>0.34</v>
      </c>
      <c r="H36" s="1">
        <v>1.78</v>
      </c>
    </row>
    <row r="37" spans="2:8" x14ac:dyDescent="0.25">
      <c r="B37" s="16" t="s">
        <v>41</v>
      </c>
      <c r="C37" s="24" t="s">
        <v>42</v>
      </c>
      <c r="D37" s="17" t="s">
        <v>43</v>
      </c>
      <c r="E37" s="17" t="s">
        <v>44</v>
      </c>
      <c r="F37" s="20" t="s">
        <v>45</v>
      </c>
      <c r="G37" s="22" t="s">
        <v>46</v>
      </c>
    </row>
    <row r="38" spans="2:8" ht="15.75" thickBot="1" x14ac:dyDescent="0.3">
      <c r="B38" s="18">
        <v>0</v>
      </c>
      <c r="C38" s="94">
        <f>G34</f>
        <v>0.75</v>
      </c>
      <c r="D38" s="94">
        <f>G35+G36</f>
        <v>0.85000000000000009</v>
      </c>
      <c r="E38" s="19">
        <f>SUM(G35:G36)</f>
        <v>0.85000000000000009</v>
      </c>
      <c r="F38" s="21">
        <v>0</v>
      </c>
      <c r="G38" s="87">
        <f>SUM(G34:G36)+0.01</f>
        <v>1.61</v>
      </c>
    </row>
  </sheetData>
  <mergeCells count="6">
    <mergeCell ref="B32:G32"/>
    <mergeCell ref="B3:G3"/>
    <mergeCell ref="B4:G4"/>
    <mergeCell ref="B15:G15"/>
    <mergeCell ref="B16:G16"/>
    <mergeCell ref="B31:G31"/>
  </mergeCells>
  <pageMargins left="1.1811023622047245" right="0.78740157480314965" top="0.78740157480314965" bottom="0.78740157480314965" header="0" footer="0"/>
  <pageSetup paperSize="9" scale="75" orientation="portrait" verticalDpi="300"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51"/>
  <dimension ref="B2:H38"/>
  <sheetViews>
    <sheetView view="pageBreakPreview" zoomScaleNormal="100" zoomScaleSheetLayoutView="100" workbookViewId="0">
      <selection activeCell="C36" sqref="C36"/>
    </sheetView>
  </sheetViews>
  <sheetFormatPr defaultRowHeight="15" x14ac:dyDescent="0.25"/>
  <cols>
    <col min="2" max="2" width="12.85546875" bestFit="1" customWidth="1"/>
    <col min="3" max="3" width="44.85546875" customWidth="1"/>
    <col min="4" max="4" width="12.7109375" bestFit="1" customWidth="1"/>
    <col min="5" max="5" width="10.140625" bestFit="1" customWidth="1"/>
    <col min="6" max="6" width="10.28515625" bestFit="1" customWidth="1"/>
    <col min="7" max="7" width="15.5703125" bestFit="1" customWidth="1"/>
    <col min="8" max="8" width="0" hidden="1" customWidth="1"/>
  </cols>
  <sheetData>
    <row r="2" spans="2:7" ht="15.75" hidden="1" thickBot="1" x14ac:dyDescent="0.3"/>
    <row r="3" spans="2:7" ht="16.5" hidden="1" thickBot="1" x14ac:dyDescent="0.3">
      <c r="B3" s="383" t="s">
        <v>60</v>
      </c>
      <c r="C3" s="384"/>
      <c r="D3" s="384"/>
      <c r="E3" s="384"/>
      <c r="F3" s="384"/>
      <c r="G3" s="385"/>
    </row>
    <row r="4" spans="2:7" ht="60" hidden="1" customHeight="1" thickBot="1" x14ac:dyDescent="0.3">
      <c r="B4" s="380" t="s">
        <v>78</v>
      </c>
      <c r="C4" s="381"/>
      <c r="D4" s="381"/>
      <c r="E4" s="381"/>
      <c r="F4" s="381"/>
      <c r="G4" s="382"/>
    </row>
    <row r="5" spans="2:7" ht="15.75" hidden="1" thickBot="1" x14ac:dyDescent="0.3">
      <c r="B5" s="12" t="s">
        <v>34</v>
      </c>
      <c r="C5" s="13" t="s">
        <v>28</v>
      </c>
      <c r="D5" s="71" t="s">
        <v>29</v>
      </c>
      <c r="E5" s="71" t="s">
        <v>30</v>
      </c>
      <c r="F5" s="71" t="s">
        <v>31</v>
      </c>
      <c r="G5" s="72" t="s">
        <v>32</v>
      </c>
    </row>
    <row r="6" spans="2:7" hidden="1" x14ac:dyDescent="0.25">
      <c r="B6" s="10" t="s">
        <v>0</v>
      </c>
      <c r="C6" s="11" t="s">
        <v>88</v>
      </c>
      <c r="D6" s="70" t="s">
        <v>29</v>
      </c>
      <c r="E6" s="8">
        <v>1</v>
      </c>
      <c r="F6" s="8">
        <v>107.5</v>
      </c>
      <c r="G6" s="9">
        <v>107.5</v>
      </c>
    </row>
    <row r="7" spans="2:7" hidden="1" x14ac:dyDescent="0.25">
      <c r="B7" s="6" t="s">
        <v>83</v>
      </c>
      <c r="C7" s="5" t="s">
        <v>79</v>
      </c>
      <c r="D7" s="15" t="s">
        <v>87</v>
      </c>
      <c r="E7" s="1">
        <v>0.25</v>
      </c>
      <c r="F7" s="1">
        <v>4.05</v>
      </c>
      <c r="G7" s="9">
        <f>ROUND(E7*F7,2)</f>
        <v>1.01</v>
      </c>
    </row>
    <row r="8" spans="2:7" hidden="1" x14ac:dyDescent="0.25">
      <c r="B8" s="7" t="s">
        <v>84</v>
      </c>
      <c r="C8" s="5" t="s">
        <v>80</v>
      </c>
      <c r="D8" s="15" t="s">
        <v>87</v>
      </c>
      <c r="E8" s="1">
        <v>0.5</v>
      </c>
      <c r="F8" s="1">
        <v>4.05</v>
      </c>
      <c r="G8" s="9">
        <f>ROUND(E8*F8,2)</f>
        <v>2.0299999999999998</v>
      </c>
    </row>
    <row r="9" spans="2:7" hidden="1" x14ac:dyDescent="0.25">
      <c r="B9" s="6" t="s">
        <v>85</v>
      </c>
      <c r="C9" s="5" t="s">
        <v>81</v>
      </c>
      <c r="D9" s="15" t="s">
        <v>87</v>
      </c>
      <c r="E9" s="1">
        <v>0.5</v>
      </c>
      <c r="F9" s="1">
        <v>1.83</v>
      </c>
      <c r="G9" s="9">
        <f>ROUND(E9*F9,2)</f>
        <v>0.92</v>
      </c>
    </row>
    <row r="10" spans="2:7" ht="15.75" hidden="1" thickBot="1" x14ac:dyDescent="0.3">
      <c r="B10" s="6" t="s">
        <v>86</v>
      </c>
      <c r="C10" s="4" t="s">
        <v>82</v>
      </c>
      <c r="D10" s="15" t="s">
        <v>87</v>
      </c>
      <c r="E10" s="1">
        <v>0.25</v>
      </c>
      <c r="F10" s="1">
        <v>2.0099999999999998</v>
      </c>
      <c r="G10" s="9">
        <f>ROUND(E10*F10,2)</f>
        <v>0.5</v>
      </c>
    </row>
    <row r="11" spans="2:7" hidden="1" x14ac:dyDescent="0.25">
      <c r="B11" s="16" t="s">
        <v>41</v>
      </c>
      <c r="C11" s="24" t="s">
        <v>42</v>
      </c>
      <c r="D11" s="17" t="s">
        <v>43</v>
      </c>
      <c r="E11" s="17" t="s">
        <v>44</v>
      </c>
      <c r="F11" s="20" t="s">
        <v>45</v>
      </c>
      <c r="G11" s="22" t="s">
        <v>46</v>
      </c>
    </row>
    <row r="12" spans="2:7" ht="15.75" hidden="1" thickBot="1" x14ac:dyDescent="0.3">
      <c r="B12" s="18">
        <v>0</v>
      </c>
      <c r="C12" s="19">
        <f>G6</f>
        <v>107.5</v>
      </c>
      <c r="D12" s="19">
        <f>SUM(G7:G8)</f>
        <v>3.04</v>
      </c>
      <c r="E12" s="19">
        <f>SUM(G9:G10)</f>
        <v>1.42</v>
      </c>
      <c r="F12" s="21">
        <v>0</v>
      </c>
      <c r="G12" s="23">
        <f>SUM(G6:G10)</f>
        <v>111.96000000000001</v>
      </c>
    </row>
    <row r="13" spans="2:7" hidden="1" x14ac:dyDescent="0.25"/>
    <row r="14" spans="2:7" ht="15.75" hidden="1" thickBot="1" x14ac:dyDescent="0.3"/>
    <row r="15" spans="2:7" ht="16.5" hidden="1" thickBot="1" x14ac:dyDescent="0.3">
      <c r="B15" s="383" t="s">
        <v>60</v>
      </c>
      <c r="C15" s="384"/>
      <c r="D15" s="384"/>
      <c r="E15" s="384"/>
      <c r="F15" s="384"/>
      <c r="G15" s="385"/>
    </row>
    <row r="16" spans="2:7" ht="61.5" hidden="1" customHeight="1" thickBot="1" x14ac:dyDescent="0.3">
      <c r="B16" s="380" t="s">
        <v>89</v>
      </c>
      <c r="C16" s="381"/>
      <c r="D16" s="381"/>
      <c r="E16" s="381"/>
      <c r="F16" s="381"/>
      <c r="G16" s="382"/>
    </row>
    <row r="17" spans="2:7" ht="15.75" hidden="1" thickBot="1" x14ac:dyDescent="0.3">
      <c r="B17" s="12" t="s">
        <v>34</v>
      </c>
      <c r="C17" s="13" t="s">
        <v>28</v>
      </c>
      <c r="D17" s="71" t="s">
        <v>29</v>
      </c>
      <c r="E17" s="71" t="s">
        <v>30</v>
      </c>
      <c r="F17" s="71" t="s">
        <v>31</v>
      </c>
      <c r="G17" s="72" t="s">
        <v>32</v>
      </c>
    </row>
    <row r="18" spans="2:7" ht="15.75" hidden="1" customHeight="1" x14ac:dyDescent="0.25">
      <c r="B18" s="10" t="s">
        <v>0</v>
      </c>
      <c r="C18" s="11" t="s">
        <v>90</v>
      </c>
      <c r="D18" s="70" t="s">
        <v>29</v>
      </c>
      <c r="E18" s="8">
        <v>1</v>
      </c>
      <c r="F18" s="8">
        <v>107.5</v>
      </c>
      <c r="G18" s="9">
        <v>302.57</v>
      </c>
    </row>
    <row r="19" spans="2:7" hidden="1" x14ac:dyDescent="0.25">
      <c r="B19" s="6" t="s">
        <v>83</v>
      </c>
      <c r="C19" s="5" t="s">
        <v>79</v>
      </c>
      <c r="D19" s="15" t="s">
        <v>87</v>
      </c>
      <c r="E19" s="1">
        <v>0.25</v>
      </c>
      <c r="F19" s="1">
        <v>4.05</v>
      </c>
      <c r="G19" s="9">
        <f>ROUND(E19*F19,2)</f>
        <v>1.01</v>
      </c>
    </row>
    <row r="20" spans="2:7" hidden="1" x14ac:dyDescent="0.25">
      <c r="B20" s="7" t="s">
        <v>84</v>
      </c>
      <c r="C20" s="5" t="s">
        <v>80</v>
      </c>
      <c r="D20" s="15" t="s">
        <v>87</v>
      </c>
      <c r="E20" s="1">
        <v>0.5</v>
      </c>
      <c r="F20" s="1">
        <v>4.05</v>
      </c>
      <c r="G20" s="9">
        <f>ROUND(E20*F20,2)</f>
        <v>2.0299999999999998</v>
      </c>
    </row>
    <row r="21" spans="2:7" hidden="1" x14ac:dyDescent="0.25">
      <c r="B21" s="6" t="s">
        <v>85</v>
      </c>
      <c r="C21" s="5" t="s">
        <v>81</v>
      </c>
      <c r="D21" s="15" t="s">
        <v>87</v>
      </c>
      <c r="E21" s="1">
        <v>0.5</v>
      </c>
      <c r="F21" s="1">
        <v>1.83</v>
      </c>
      <c r="G21" s="9">
        <f>ROUND(E21*F21,2)</f>
        <v>0.92</v>
      </c>
    </row>
    <row r="22" spans="2:7" ht="15.75" hidden="1" thickBot="1" x14ac:dyDescent="0.3">
      <c r="B22" s="6" t="s">
        <v>86</v>
      </c>
      <c r="C22" s="4" t="s">
        <v>82</v>
      </c>
      <c r="D22" s="15" t="s">
        <v>87</v>
      </c>
      <c r="E22" s="1">
        <v>0.25</v>
      </c>
      <c r="F22" s="1">
        <v>2.0099999999999998</v>
      </c>
      <c r="G22" s="9">
        <f>ROUND(E22*F22,2)</f>
        <v>0.5</v>
      </c>
    </row>
    <row r="23" spans="2:7" hidden="1" x14ac:dyDescent="0.25">
      <c r="B23" s="16" t="s">
        <v>41</v>
      </c>
      <c r="C23" s="24" t="s">
        <v>42</v>
      </c>
      <c r="D23" s="17" t="s">
        <v>43</v>
      </c>
      <c r="E23" s="17" t="s">
        <v>44</v>
      </c>
      <c r="F23" s="20" t="s">
        <v>45</v>
      </c>
      <c r="G23" s="22" t="s">
        <v>46</v>
      </c>
    </row>
    <row r="24" spans="2:7" ht="15.75" hidden="1" thickBot="1" x14ac:dyDescent="0.3">
      <c r="B24" s="18">
        <v>0</v>
      </c>
      <c r="C24" s="19">
        <f>G18</f>
        <v>302.57</v>
      </c>
      <c r="D24" s="19">
        <f>SUM(G19:G20)</f>
        <v>3.04</v>
      </c>
      <c r="E24" s="19">
        <f>SUM(G21:G22)</f>
        <v>1.42</v>
      </c>
      <c r="F24" s="21">
        <v>0</v>
      </c>
      <c r="G24" s="23">
        <f>SUM(G18:G22)</f>
        <v>307.02999999999997</v>
      </c>
    </row>
    <row r="25" spans="2:7" hidden="1" x14ac:dyDescent="0.25"/>
    <row r="26" spans="2:7" hidden="1" x14ac:dyDescent="0.25"/>
    <row r="30" spans="2:7" ht="15.75" thickBot="1" x14ac:dyDescent="0.3"/>
    <row r="31" spans="2:7" ht="16.5" thickBot="1" x14ac:dyDescent="0.3">
      <c r="B31" s="383" t="s">
        <v>60</v>
      </c>
      <c r="C31" s="384"/>
      <c r="D31" s="384"/>
      <c r="E31" s="384"/>
      <c r="F31" s="384"/>
      <c r="G31" s="385"/>
    </row>
    <row r="32" spans="2:7" ht="65.25" customHeight="1" thickBot="1" x14ac:dyDescent="0.3">
      <c r="B32" s="380" t="s">
        <v>189</v>
      </c>
      <c r="C32" s="381"/>
      <c r="D32" s="381"/>
      <c r="E32" s="381"/>
      <c r="F32" s="381"/>
      <c r="G32" s="382"/>
    </row>
    <row r="33" spans="2:8" ht="15.75" thickBot="1" x14ac:dyDescent="0.3">
      <c r="B33" s="12" t="s">
        <v>34</v>
      </c>
      <c r="C33" s="13" t="s">
        <v>28</v>
      </c>
      <c r="D33" s="71" t="s">
        <v>29</v>
      </c>
      <c r="E33" s="71" t="s">
        <v>30</v>
      </c>
      <c r="F33" s="71" t="s">
        <v>31</v>
      </c>
      <c r="G33" s="72" t="s">
        <v>32</v>
      </c>
    </row>
    <row r="34" spans="2:8" x14ac:dyDescent="0.25">
      <c r="B34" s="10" t="s">
        <v>190</v>
      </c>
      <c r="C34" s="11" t="s">
        <v>248</v>
      </c>
      <c r="D34" s="70" t="s">
        <v>105</v>
      </c>
      <c r="E34" s="61">
        <v>1</v>
      </c>
      <c r="F34" s="85">
        <v>0.51</v>
      </c>
      <c r="G34" s="86">
        <f>E34*F34</f>
        <v>0.51</v>
      </c>
      <c r="H34" s="1">
        <v>7.88</v>
      </c>
    </row>
    <row r="35" spans="2:8" x14ac:dyDescent="0.25">
      <c r="B35" s="93" t="s">
        <v>191</v>
      </c>
      <c r="C35" s="5" t="s">
        <v>193</v>
      </c>
      <c r="D35" s="15" t="s">
        <v>87</v>
      </c>
      <c r="E35" s="1">
        <v>0.04</v>
      </c>
      <c r="F35" s="61">
        <v>5.0599999999999996</v>
      </c>
      <c r="G35" s="9">
        <f>ROUND(E35*F35,2)</f>
        <v>0.2</v>
      </c>
      <c r="H35" s="1">
        <v>1.83</v>
      </c>
    </row>
    <row r="36" spans="2:8" ht="15.75" thickBot="1" x14ac:dyDescent="0.3">
      <c r="B36" s="92" t="s">
        <v>192</v>
      </c>
      <c r="C36" s="5" t="s">
        <v>194</v>
      </c>
      <c r="D36" s="15" t="s">
        <v>87</v>
      </c>
      <c r="E36" s="1">
        <v>0.04</v>
      </c>
      <c r="F36" s="61">
        <v>3.41</v>
      </c>
      <c r="G36" s="9">
        <f>ROUND(E36*F36,2)</f>
        <v>0.14000000000000001</v>
      </c>
      <c r="H36" s="1">
        <v>1.78</v>
      </c>
    </row>
    <row r="37" spans="2:8" x14ac:dyDescent="0.25">
      <c r="B37" s="16" t="s">
        <v>41</v>
      </c>
      <c r="C37" s="24" t="s">
        <v>42</v>
      </c>
      <c r="D37" s="17" t="s">
        <v>43</v>
      </c>
      <c r="E37" s="17" t="s">
        <v>44</v>
      </c>
      <c r="F37" s="20" t="s">
        <v>45</v>
      </c>
      <c r="G37" s="22" t="s">
        <v>46</v>
      </c>
    </row>
    <row r="38" spans="2:8" ht="15.75" thickBot="1" x14ac:dyDescent="0.3">
      <c r="B38" s="18">
        <v>0</v>
      </c>
      <c r="C38" s="94">
        <f>G34</f>
        <v>0.51</v>
      </c>
      <c r="D38" s="94">
        <f>G35+G36</f>
        <v>0.34</v>
      </c>
      <c r="E38" s="19">
        <f>SUM(G35:G36)</f>
        <v>0.34</v>
      </c>
      <c r="F38" s="21">
        <v>0</v>
      </c>
      <c r="G38" s="87">
        <f>SUM(G34:G36)+0.01</f>
        <v>0.86</v>
      </c>
    </row>
  </sheetData>
  <mergeCells count="6">
    <mergeCell ref="B32:G32"/>
    <mergeCell ref="B3:G3"/>
    <mergeCell ref="B4:G4"/>
    <mergeCell ref="B15:G15"/>
    <mergeCell ref="B16:G16"/>
    <mergeCell ref="B31:G31"/>
  </mergeCells>
  <pageMargins left="1.1811023622047245" right="0.78740157480314965" top="0.78740157480314965" bottom="0.78740157480314965" header="0" footer="0"/>
  <pageSetup paperSize="9" scale="75" orientation="portrait" verticalDpi="300"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6"/>
  <sheetViews>
    <sheetView view="pageBreakPreview" topLeftCell="A55" zoomScaleNormal="100" zoomScaleSheetLayoutView="100" workbookViewId="0">
      <selection activeCell="G19" sqref="G19"/>
    </sheetView>
  </sheetViews>
  <sheetFormatPr defaultRowHeight="15" x14ac:dyDescent="0.25"/>
  <cols>
    <col min="2" max="2" width="16.85546875" customWidth="1"/>
    <col min="3" max="3" width="59.140625" customWidth="1"/>
    <col min="6" max="6" width="23.7109375" customWidth="1"/>
    <col min="7" max="7" width="13.140625" bestFit="1" customWidth="1"/>
  </cols>
  <sheetData>
    <row r="1" spans="1:7" ht="86.25" customHeight="1" thickBot="1" x14ac:dyDescent="0.3">
      <c r="A1" s="130"/>
      <c r="B1" s="131"/>
      <c r="C1" s="132"/>
      <c r="D1" s="133"/>
      <c r="E1" s="134"/>
      <c r="F1" s="135"/>
      <c r="G1" s="136"/>
    </row>
    <row r="2" spans="1:7" ht="16.5" thickBot="1" x14ac:dyDescent="0.3">
      <c r="A2" s="354" t="s">
        <v>15</v>
      </c>
      <c r="B2" s="355"/>
      <c r="C2" s="355"/>
      <c r="D2" s="355"/>
      <c r="E2" s="355"/>
      <c r="F2" s="355"/>
      <c r="G2" s="356"/>
    </row>
    <row r="3" spans="1:7" ht="15.75" x14ac:dyDescent="0.25">
      <c r="A3" s="357" t="s">
        <v>522</v>
      </c>
      <c r="B3" s="358"/>
      <c r="C3" s="358"/>
      <c r="D3" s="358"/>
      <c r="E3" s="358"/>
      <c r="F3" s="358"/>
      <c r="G3" s="359"/>
    </row>
    <row r="4" spans="1:7" ht="16.5" thickBot="1" x14ac:dyDescent="0.3">
      <c r="A4" s="372" t="s">
        <v>521</v>
      </c>
      <c r="B4" s="370"/>
      <c r="C4" s="370"/>
      <c r="D4" s="192"/>
      <c r="E4" s="370"/>
      <c r="F4" s="370"/>
      <c r="G4" s="371"/>
    </row>
    <row r="5" spans="1:7" x14ac:dyDescent="0.25">
      <c r="A5" s="436" t="s">
        <v>1</v>
      </c>
      <c r="B5" s="437" t="s">
        <v>2</v>
      </c>
      <c r="C5" s="438" t="s">
        <v>3</v>
      </c>
      <c r="D5" s="439" t="s">
        <v>4</v>
      </c>
      <c r="E5" s="439" t="s">
        <v>5</v>
      </c>
      <c r="F5" s="206" t="s">
        <v>6</v>
      </c>
      <c r="G5" s="440" t="s">
        <v>7</v>
      </c>
    </row>
    <row r="6" spans="1:7" ht="15.75" thickBot="1" x14ac:dyDescent="0.3">
      <c r="A6" s="361"/>
      <c r="B6" s="363"/>
      <c r="C6" s="365"/>
      <c r="D6" s="367"/>
      <c r="E6" s="367"/>
      <c r="F6" s="204" t="s">
        <v>8</v>
      </c>
      <c r="G6" s="369"/>
    </row>
    <row r="7" spans="1:7" ht="15.75" thickBot="1" x14ac:dyDescent="0.3">
      <c r="A7" s="143" t="s">
        <v>9</v>
      </c>
      <c r="B7" s="144"/>
      <c r="C7" s="145" t="s">
        <v>104</v>
      </c>
      <c r="D7" s="144"/>
      <c r="E7" s="144"/>
      <c r="F7" s="144"/>
      <c r="G7" s="146">
        <f>SUM(G8:G9)</f>
        <v>163.88</v>
      </c>
    </row>
    <row r="8" spans="1:7" x14ac:dyDescent="0.25">
      <c r="A8" s="137" t="s">
        <v>10</v>
      </c>
      <c r="B8" s="138" t="str">
        <f>'MEMÓRIA DEPÓSITO'!B6</f>
        <v>00016/ORSE</v>
      </c>
      <c r="C8" s="139" t="str">
        <f>'MEMÓRIA DEPÓSITO'!C6</f>
        <v>Demolição manual de piso em concreto simples e/ou cimentado</v>
      </c>
      <c r="D8" s="140">
        <f>'MEMÓRIA DEPÓSITO'!I9</f>
        <v>8.6</v>
      </c>
      <c r="E8" s="140" t="s">
        <v>26</v>
      </c>
      <c r="F8" s="141">
        <v>17.399999999999999</v>
      </c>
      <c r="G8" s="142">
        <f>ROUND(D8*F8,2)</f>
        <v>149.63999999999999</v>
      </c>
    </row>
    <row r="9" spans="1:7" ht="27" thickBot="1" x14ac:dyDescent="0.3">
      <c r="A9" s="103" t="s">
        <v>392</v>
      </c>
      <c r="B9" s="147" t="s">
        <v>520</v>
      </c>
      <c r="C9" s="148" t="s">
        <v>412</v>
      </c>
      <c r="D9" s="149">
        <f>'MEMÓRIA DEPÓSITO'!I15</f>
        <v>10.32</v>
      </c>
      <c r="E9" s="149" t="s">
        <v>428</v>
      </c>
      <c r="F9" s="150">
        <v>1.38</v>
      </c>
      <c r="G9" s="151">
        <f>ROUND(D9*F9,2)</f>
        <v>14.24</v>
      </c>
    </row>
    <row r="10" spans="1:7" ht="15.75" thickBot="1" x14ac:dyDescent="0.3">
      <c r="A10" s="143" t="s">
        <v>12</v>
      </c>
      <c r="B10" s="144"/>
      <c r="C10" s="153" t="str">
        <f>'MEMÓRIA DEPÓSITO'!B17</f>
        <v>MOVIMENTO DE TERRA</v>
      </c>
      <c r="D10" s="144"/>
      <c r="E10" s="144"/>
      <c r="F10" s="153"/>
      <c r="G10" s="154">
        <f>SUM(G11:G12)</f>
        <v>1006.26</v>
      </c>
    </row>
    <row r="11" spans="1:7" ht="33" customHeight="1" x14ac:dyDescent="0.25">
      <c r="A11" s="152" t="s">
        <v>13</v>
      </c>
      <c r="B11" s="138" t="str">
        <f>'MEMÓRIA DEPÓSITO'!B18</f>
        <v>02497/ORSE</v>
      </c>
      <c r="C11" s="139" t="str">
        <f>'MEMÓRIA DEPÓSITO'!C18</f>
        <v>Escavação manual de vala ou cava em material de 1ª categoria, profundidade até 1,50m</v>
      </c>
      <c r="D11" s="140">
        <f>'MEMÓRIA DEPÓSITO'!I24</f>
        <v>7.0600000000000005</v>
      </c>
      <c r="E11" s="140" t="s">
        <v>105</v>
      </c>
      <c r="F11" s="141">
        <v>35.36</v>
      </c>
      <c r="G11" s="142">
        <f>ROUND(D11*F11,2)</f>
        <v>249.64</v>
      </c>
    </row>
    <row r="12" spans="1:7" ht="26.25" x14ac:dyDescent="0.25">
      <c r="A12" s="109" t="s">
        <v>16</v>
      </c>
      <c r="B12" s="110" t="str">
        <f>'MEMÓRIA DEPÓSITO'!B26</f>
        <v>94319/SINAPI</v>
      </c>
      <c r="C12" s="111" t="str">
        <f>'MEMÓRIA DEPÓSITO'!C26</f>
        <v>ATERRO MANUAL DE VALAS COM SOLO ARGILO-ARENOSO E COMPACTAÇÃO MECANIZADA. AF_05/2016</v>
      </c>
      <c r="D12" s="105">
        <f>'MEMÓRIA DEPÓSITO'!I30</f>
        <v>26.52</v>
      </c>
      <c r="E12" s="105" t="s">
        <v>105</v>
      </c>
      <c r="F12" s="106">
        <v>28.53</v>
      </c>
      <c r="G12" s="142">
        <f>ROUND(D12*F12,2)</f>
        <v>756.62</v>
      </c>
    </row>
    <row r="13" spans="1:7" s="100" customFormat="1" ht="27" customHeight="1" thickBot="1" x14ac:dyDescent="0.3">
      <c r="A13" s="202" t="s">
        <v>314</v>
      </c>
      <c r="B13" s="147" t="s">
        <v>520</v>
      </c>
      <c r="C13" s="148" t="s">
        <v>412</v>
      </c>
      <c r="D13" s="149">
        <f>'MEMÓRIA DEPÓSITO'!I36</f>
        <v>132.6</v>
      </c>
      <c r="E13" s="149" t="s">
        <v>428</v>
      </c>
      <c r="F13" s="150">
        <v>1.38</v>
      </c>
      <c r="G13" s="142">
        <f>ROUND(D13*F13,2)</f>
        <v>182.99</v>
      </c>
    </row>
    <row r="14" spans="1:7" ht="15.75" thickBot="1" x14ac:dyDescent="0.3">
      <c r="A14" s="143" t="s">
        <v>17</v>
      </c>
      <c r="B14" s="144"/>
      <c r="C14" s="153" t="str">
        <f>'MEMÓRIA DEPÓSITO'!B38</f>
        <v>FUNDAÇÃO</v>
      </c>
      <c r="D14" s="144"/>
      <c r="E14" s="144"/>
      <c r="F14" s="153"/>
      <c r="G14" s="154">
        <f>SUM(G15:G18)</f>
        <v>3946.12</v>
      </c>
    </row>
    <row r="15" spans="1:7" s="3" customFormat="1" ht="26.25" x14ac:dyDescent="0.25">
      <c r="A15" s="152" t="s">
        <v>52</v>
      </c>
      <c r="B15" s="138" t="s">
        <v>490</v>
      </c>
      <c r="C15" s="207" t="s">
        <v>491</v>
      </c>
      <c r="D15" s="140">
        <f>'MEMÓRIA DEPÓSITO'!I43</f>
        <v>3.84</v>
      </c>
      <c r="E15" s="140" t="s">
        <v>26</v>
      </c>
      <c r="F15" s="141">
        <v>18.03</v>
      </c>
      <c r="G15" s="142">
        <f>ROUND(D15*F15,2)</f>
        <v>69.239999999999995</v>
      </c>
    </row>
    <row r="16" spans="1:7" ht="26.25" x14ac:dyDescent="0.25">
      <c r="A16" s="109" t="s">
        <v>53</v>
      </c>
      <c r="B16" s="138" t="str">
        <f>'MEMÓRIA DEPÓSITO'!B47</f>
        <v>95467/SINAPI</v>
      </c>
      <c r="C16" s="113" t="str">
        <f>'MEMÓRIA DEPÓSITO'!C47</f>
        <v>EMBASAMENTO C/PEDRA ARGAMASSADA UTILIZANDO ARG.CIM/AREIA 1:4</v>
      </c>
      <c r="D16" s="112">
        <f>'MEMÓRIA DEPÓSITO'!I53</f>
        <v>7.0600000000000005</v>
      </c>
      <c r="E16" s="114" t="s">
        <v>368</v>
      </c>
      <c r="F16" s="106">
        <v>300.70999999999998</v>
      </c>
      <c r="G16" s="107">
        <f>ROUND(D16*F16,2)</f>
        <v>2123.0100000000002</v>
      </c>
    </row>
    <row r="17" spans="1:7" ht="26.25" x14ac:dyDescent="0.25">
      <c r="A17" s="109" t="s">
        <v>91</v>
      </c>
      <c r="B17" s="138" t="str">
        <f>'MEMÓRIA DEPÓSITO'!B55</f>
        <v>93204/SINAPI</v>
      </c>
      <c r="C17" s="113" t="str">
        <f>'MEMÓRIA DEPÓSITO'!C55</f>
        <v>CINTA DE AMARRAÇÃO DE ALVENARIA MOLDADA IN LOCO EM CONCRETO. AF_03/2016</v>
      </c>
      <c r="D17" s="112">
        <f>'MEMÓRIA DEPÓSITO'!I61</f>
        <v>22.200000000000003</v>
      </c>
      <c r="E17" s="112" t="s">
        <v>26</v>
      </c>
      <c r="F17" s="106">
        <v>26.99</v>
      </c>
      <c r="G17" s="107">
        <f t="shared" ref="G17:G50" si="0">ROUND(D17*F17,2)</f>
        <v>599.17999999999995</v>
      </c>
    </row>
    <row r="18" spans="1:7" ht="27" thickBot="1" x14ac:dyDescent="0.3">
      <c r="A18" s="155" t="s">
        <v>492</v>
      </c>
      <c r="B18" s="138" t="str">
        <f>'MEMÓRIA DEPÓSITO'!B63</f>
        <v>IFPB 03</v>
      </c>
      <c r="C18" s="162" t="str">
        <f>'MEMÓRIA DEPÓSITO'!C63</f>
        <v>Alvenaria em tijolo cerâmico 1 vez, assentado em argamassa traço 1:2:8 (cimento, cal e areia)</v>
      </c>
      <c r="D18" s="161">
        <f>'MEMÓRIA DEPÓSITO'!I71</f>
        <v>19.200000000000003</v>
      </c>
      <c r="E18" s="161" t="s">
        <v>26</v>
      </c>
      <c r="F18" s="150">
        <f>Plan3!G9</f>
        <v>60.14</v>
      </c>
      <c r="G18" s="151">
        <f t="shared" si="0"/>
        <v>1154.69</v>
      </c>
    </row>
    <row r="19" spans="1:7" ht="15.75" thickBot="1" x14ac:dyDescent="0.3">
      <c r="A19" s="143" t="s">
        <v>19</v>
      </c>
      <c r="B19" s="144"/>
      <c r="C19" s="166" t="str">
        <f>'MEMÓRIA DEPÓSITO'!B73</f>
        <v>ALVENARIA</v>
      </c>
      <c r="D19" s="144"/>
      <c r="E19" s="144"/>
      <c r="F19" s="153"/>
      <c r="G19" s="154">
        <f>SUM(G20:G20)</f>
        <v>2219.65</v>
      </c>
    </row>
    <row r="20" spans="1:7" ht="56.25" customHeight="1" thickBot="1" x14ac:dyDescent="0.3">
      <c r="A20" s="163" t="s">
        <v>380</v>
      </c>
      <c r="B20" s="138" t="str">
        <f>'MEMÓRIA DEPÓSITO'!B74</f>
        <v>87503/SINAPI</v>
      </c>
      <c r="C20" s="164" t="str">
        <f>'MEMÓRIA DEPÓSITO'!C74</f>
        <v>ALVENARIA DE VEDAÇÃO DE BLOCOS CERÂMICOS FURADOS NA HORIZONTAL DE 9X19X19CM (ESPESSURA 9CM) DE PAREDES COM ÁREA LÍQUIDA MAIOR OU IGUAL A 6M² SEM VÃOS E ARGAMASSA DE ASSENTAMENTO COM PREPARO EM BETONEIRA. AF_06/2014</v>
      </c>
      <c r="D20" s="158">
        <f>'MEMÓRIA DEPÓSITO'!I81</f>
        <v>51.500000000000007</v>
      </c>
      <c r="E20" s="158" t="s">
        <v>26</v>
      </c>
      <c r="F20" s="141">
        <v>43.1</v>
      </c>
      <c r="G20" s="142">
        <f t="shared" si="0"/>
        <v>2219.65</v>
      </c>
    </row>
    <row r="21" spans="1:7" ht="15.75" thickBot="1" x14ac:dyDescent="0.3">
      <c r="A21" s="143" t="s">
        <v>57</v>
      </c>
      <c r="B21" s="144"/>
      <c r="C21" s="145" t="s">
        <v>432</v>
      </c>
      <c r="D21" s="144"/>
      <c r="E21" s="144"/>
      <c r="F21" s="144"/>
      <c r="G21" s="154">
        <f>ROUND(SUM(G22:G28),2)</f>
        <v>6340.91</v>
      </c>
    </row>
    <row r="22" spans="1:7" ht="26.25" x14ac:dyDescent="0.25">
      <c r="A22" s="169" t="s">
        <v>58</v>
      </c>
      <c r="B22" s="138" t="s">
        <v>447</v>
      </c>
      <c r="C22" s="159" t="s">
        <v>448</v>
      </c>
      <c r="D22" s="170">
        <f>'MEMÓRIA DEPÓSITO'!I102</f>
        <v>3.01</v>
      </c>
      <c r="E22" s="160" t="s">
        <v>105</v>
      </c>
      <c r="F22" s="141">
        <v>270.39999999999998</v>
      </c>
      <c r="G22" s="142">
        <f t="shared" si="0"/>
        <v>813.9</v>
      </c>
    </row>
    <row r="23" spans="1:7" ht="26.25" x14ac:dyDescent="0.25">
      <c r="A23" s="120" t="s">
        <v>59</v>
      </c>
      <c r="B23" s="138" t="s">
        <v>449</v>
      </c>
      <c r="C23" s="113" t="s">
        <v>450</v>
      </c>
      <c r="D23" s="121">
        <f>'MEMÓRIA DEPÓSITO'!I122</f>
        <v>36.42</v>
      </c>
      <c r="E23" s="114" t="s">
        <v>26</v>
      </c>
      <c r="F23" s="106">
        <v>32.76</v>
      </c>
      <c r="G23" s="142">
        <f t="shared" si="0"/>
        <v>1193.1199999999999</v>
      </c>
    </row>
    <row r="24" spans="1:7" ht="26.25" x14ac:dyDescent="0.25">
      <c r="A24" s="120" t="s">
        <v>282</v>
      </c>
      <c r="B24" s="138" t="s">
        <v>451</v>
      </c>
      <c r="C24" s="113" t="s">
        <v>452</v>
      </c>
      <c r="D24" s="121">
        <f>'MEMÓRIA DEPÓSITO'!I152</f>
        <v>151.04</v>
      </c>
      <c r="E24" s="114" t="s">
        <v>95</v>
      </c>
      <c r="F24" s="106">
        <v>6.49</v>
      </c>
      <c r="G24" s="142">
        <f t="shared" si="0"/>
        <v>980.25</v>
      </c>
    </row>
    <row r="25" spans="1:7" ht="39" x14ac:dyDescent="0.25">
      <c r="A25" s="120" t="s">
        <v>283</v>
      </c>
      <c r="B25" s="138" t="s">
        <v>454</v>
      </c>
      <c r="C25" s="113" t="s">
        <v>455</v>
      </c>
      <c r="D25" s="121">
        <f>'MEMÓRIA DEPÓSITO'!I158</f>
        <v>25.6</v>
      </c>
      <c r="E25" s="114" t="s">
        <v>26</v>
      </c>
      <c r="F25" s="106">
        <v>119.43</v>
      </c>
      <c r="G25" s="142">
        <f t="shared" si="0"/>
        <v>3057.41</v>
      </c>
    </row>
    <row r="26" spans="1:7" ht="26.25" x14ac:dyDescent="0.25">
      <c r="A26" s="120" t="s">
        <v>384</v>
      </c>
      <c r="B26" s="138" t="s">
        <v>456</v>
      </c>
      <c r="C26" s="113" t="s">
        <v>457</v>
      </c>
      <c r="D26" s="121">
        <f>'MEMÓRIA DEPÓSITO'!I164</f>
        <v>9.6</v>
      </c>
      <c r="E26" s="114" t="s">
        <v>65</v>
      </c>
      <c r="F26" s="106">
        <v>24.94</v>
      </c>
      <c r="G26" s="142">
        <f t="shared" si="0"/>
        <v>239.42</v>
      </c>
    </row>
    <row r="27" spans="1:7" s="100" customFormat="1" ht="26.25" x14ac:dyDescent="0.25">
      <c r="A27" s="120" t="s">
        <v>489</v>
      </c>
      <c r="B27" s="138" t="s">
        <v>458</v>
      </c>
      <c r="C27" s="113" t="s">
        <v>315</v>
      </c>
      <c r="D27" s="121">
        <f>'MEMÓRIA DEPÓSITO'!I170</f>
        <v>1.5</v>
      </c>
      <c r="E27" s="114" t="s">
        <v>65</v>
      </c>
      <c r="F27" s="106">
        <v>14.71</v>
      </c>
      <c r="G27" s="142">
        <f t="shared" si="0"/>
        <v>22.07</v>
      </c>
    </row>
    <row r="28" spans="1:7" s="100" customFormat="1" ht="27" thickBot="1" x14ac:dyDescent="0.3">
      <c r="A28" s="171" t="s">
        <v>461</v>
      </c>
      <c r="B28" s="138" t="s">
        <v>459</v>
      </c>
      <c r="C28" s="198" t="s">
        <v>460</v>
      </c>
      <c r="D28" s="199">
        <f>'MEMÓRIA DEPÓSITO'!I179</f>
        <v>20.2</v>
      </c>
      <c r="E28" s="200" t="s">
        <v>65</v>
      </c>
      <c r="F28" s="179">
        <v>1.72</v>
      </c>
      <c r="G28" s="203">
        <f t="shared" si="0"/>
        <v>34.74</v>
      </c>
    </row>
    <row r="29" spans="1:7" s="100" customFormat="1" ht="15.75" thickBot="1" x14ac:dyDescent="0.3">
      <c r="A29" s="143" t="s">
        <v>62</v>
      </c>
      <c r="B29" s="144"/>
      <c r="C29" s="145" t="s">
        <v>54</v>
      </c>
      <c r="D29" s="144"/>
      <c r="E29" s="144"/>
      <c r="F29" s="144"/>
      <c r="G29" s="154">
        <f>ROUND(SUM(G30:G33),2)</f>
        <v>3712.81</v>
      </c>
    </row>
    <row r="30" spans="1:7" s="100" customFormat="1" ht="39" x14ac:dyDescent="0.25">
      <c r="A30" s="169" t="s">
        <v>63</v>
      </c>
      <c r="B30" s="138" t="s">
        <v>466</v>
      </c>
      <c r="C30" s="159" t="s">
        <v>467</v>
      </c>
      <c r="D30" s="170">
        <f>'MEMÓRIA DEPÓSITO'!I194</f>
        <v>118.14</v>
      </c>
      <c r="E30" s="160" t="s">
        <v>26</v>
      </c>
      <c r="F30" s="141">
        <v>2.39</v>
      </c>
      <c r="G30" s="142">
        <f t="shared" si="0"/>
        <v>282.35000000000002</v>
      </c>
    </row>
    <row r="31" spans="1:7" s="100" customFormat="1" ht="56.25" customHeight="1" x14ac:dyDescent="0.25">
      <c r="A31" s="120" t="s">
        <v>64</v>
      </c>
      <c r="B31" s="138" t="s">
        <v>468</v>
      </c>
      <c r="C31" s="113" t="s">
        <v>469</v>
      </c>
      <c r="D31" s="121">
        <f>'MEMÓRIA DEPÓSITO'!I207</f>
        <v>60.22</v>
      </c>
      <c r="E31" s="114" t="s">
        <v>26</v>
      </c>
      <c r="F31" s="106">
        <v>20.07</v>
      </c>
      <c r="G31" s="142">
        <f t="shared" si="0"/>
        <v>1208.6199999999999</v>
      </c>
    </row>
    <row r="32" spans="1:7" s="100" customFormat="1" ht="51.75" x14ac:dyDescent="0.25">
      <c r="A32" s="120" t="s">
        <v>373</v>
      </c>
      <c r="B32" s="138" t="s">
        <v>470</v>
      </c>
      <c r="C32" s="113" t="s">
        <v>471</v>
      </c>
      <c r="D32" s="121">
        <f>'MEMÓRIA DEPÓSITO'!I215</f>
        <v>39.520000000000003</v>
      </c>
      <c r="E32" s="114" t="s">
        <v>26</v>
      </c>
      <c r="F32" s="106">
        <v>20.8</v>
      </c>
      <c r="G32" s="142">
        <f t="shared" si="0"/>
        <v>822.02</v>
      </c>
    </row>
    <row r="33" spans="1:7" s="100" customFormat="1" ht="27" thickBot="1" x14ac:dyDescent="0.3">
      <c r="A33" s="171" t="s">
        <v>374</v>
      </c>
      <c r="B33" s="138" t="s">
        <v>311</v>
      </c>
      <c r="C33" s="162" t="s">
        <v>289</v>
      </c>
      <c r="D33" s="172">
        <f>'MEMÓRIA DEPÓSITO'!I223</f>
        <v>39.520000000000003</v>
      </c>
      <c r="E33" s="173" t="s">
        <v>26</v>
      </c>
      <c r="F33" s="150">
        <f>COMPOSIÇÕES!T10</f>
        <v>35.420666666666669</v>
      </c>
      <c r="G33" s="203">
        <f t="shared" si="0"/>
        <v>1399.82</v>
      </c>
    </row>
    <row r="34" spans="1:7" s="100" customFormat="1" ht="15.75" thickBot="1" x14ac:dyDescent="0.3">
      <c r="A34" s="143" t="s">
        <v>66</v>
      </c>
      <c r="B34" s="144"/>
      <c r="C34" s="145" t="s">
        <v>507</v>
      </c>
      <c r="D34" s="144"/>
      <c r="E34" s="144"/>
      <c r="F34" s="144"/>
      <c r="G34" s="154">
        <f>ROUND(SUM(G35:G37),2)</f>
        <v>1601.15</v>
      </c>
    </row>
    <row r="35" spans="1:7" s="100" customFormat="1" ht="26.25" x14ac:dyDescent="0.25">
      <c r="A35" s="169" t="s">
        <v>67</v>
      </c>
      <c r="B35" s="138" t="s">
        <v>286</v>
      </c>
      <c r="C35" s="159" t="s">
        <v>287</v>
      </c>
      <c r="D35" s="170">
        <v>1</v>
      </c>
      <c r="E35" s="160" t="s">
        <v>29</v>
      </c>
      <c r="F35" s="141">
        <v>1010.58</v>
      </c>
      <c r="G35" s="142">
        <f t="shared" si="0"/>
        <v>1010.58</v>
      </c>
    </row>
    <row r="36" spans="1:7" s="100" customFormat="1" ht="26.25" x14ac:dyDescent="0.25">
      <c r="A36" s="169" t="s">
        <v>482</v>
      </c>
      <c r="B36" s="138" t="s">
        <v>508</v>
      </c>
      <c r="C36" s="113" t="s">
        <v>509</v>
      </c>
      <c r="D36" s="121">
        <f>'MEMÓRIA DEPÓSITO'!I231</f>
        <v>1.08</v>
      </c>
      <c r="E36" s="114" t="s">
        <v>26</v>
      </c>
      <c r="F36" s="106">
        <v>432.82</v>
      </c>
      <c r="G36" s="142">
        <f t="shared" si="0"/>
        <v>467.45</v>
      </c>
    </row>
    <row r="37" spans="1:7" s="100" customFormat="1" ht="15.75" thickBot="1" x14ac:dyDescent="0.3">
      <c r="A37" s="169" t="s">
        <v>483</v>
      </c>
      <c r="B37" s="138" t="s">
        <v>510</v>
      </c>
      <c r="C37" s="162" t="s">
        <v>511</v>
      </c>
      <c r="D37" s="172">
        <f>'MEMÓRIA DEPÓSITO'!I238</f>
        <v>1.08</v>
      </c>
      <c r="E37" s="173" t="s">
        <v>26</v>
      </c>
      <c r="F37" s="150">
        <v>114</v>
      </c>
      <c r="G37" s="203">
        <f t="shared" si="0"/>
        <v>123.12</v>
      </c>
    </row>
    <row r="38" spans="1:7" ht="15.75" thickBot="1" x14ac:dyDescent="0.3">
      <c r="A38" s="143" t="s">
        <v>128</v>
      </c>
      <c r="B38" s="144"/>
      <c r="C38" s="166" t="s">
        <v>20</v>
      </c>
      <c r="D38" s="144"/>
      <c r="E38" s="144"/>
      <c r="F38" s="153"/>
      <c r="G38" s="154">
        <f>ROUND(SUM(G39:G46),2)</f>
        <v>1795.16</v>
      </c>
    </row>
    <row r="39" spans="1:7" ht="26.25" x14ac:dyDescent="0.25">
      <c r="A39" s="163" t="s">
        <v>129</v>
      </c>
      <c r="B39" s="138" t="s">
        <v>138</v>
      </c>
      <c r="C39" s="164" t="s">
        <v>278</v>
      </c>
      <c r="D39" s="158">
        <f>'MEMÓRIA DEPÓSITO'!I248</f>
        <v>48.62</v>
      </c>
      <c r="E39" s="158" t="s">
        <v>26</v>
      </c>
      <c r="F39" s="141">
        <v>1.57</v>
      </c>
      <c r="G39" s="142">
        <f t="shared" si="0"/>
        <v>76.33</v>
      </c>
    </row>
    <row r="40" spans="1:7" s="100" customFormat="1" ht="26.25" x14ac:dyDescent="0.25">
      <c r="A40" s="163" t="s">
        <v>385</v>
      </c>
      <c r="B40" s="138" t="s">
        <v>472</v>
      </c>
      <c r="C40" s="164" t="s">
        <v>473</v>
      </c>
      <c r="D40" s="158">
        <f>'MEMÓRIA DEPÓSITO'!I255</f>
        <v>22.39</v>
      </c>
      <c r="E40" s="158" t="s">
        <v>26</v>
      </c>
      <c r="F40" s="141">
        <v>1.81</v>
      </c>
      <c r="G40" s="142">
        <f t="shared" si="0"/>
        <v>40.53</v>
      </c>
    </row>
    <row r="41" spans="1:7" ht="26.25" x14ac:dyDescent="0.25">
      <c r="A41" s="163" t="s">
        <v>386</v>
      </c>
      <c r="B41" s="138" t="s">
        <v>137</v>
      </c>
      <c r="C41" s="118" t="s">
        <v>279</v>
      </c>
      <c r="D41" s="112">
        <f>'MEMÓRIA DEPÓSITO'!I264</f>
        <v>48.62</v>
      </c>
      <c r="E41" s="112" t="s">
        <v>26</v>
      </c>
      <c r="F41" s="106">
        <v>8.52</v>
      </c>
      <c r="G41" s="142">
        <f t="shared" si="0"/>
        <v>414.24</v>
      </c>
    </row>
    <row r="42" spans="1:7" s="100" customFormat="1" ht="26.25" x14ac:dyDescent="0.25">
      <c r="A42" s="163" t="s">
        <v>387</v>
      </c>
      <c r="B42" s="138" t="s">
        <v>475</v>
      </c>
      <c r="C42" s="118" t="s">
        <v>476</v>
      </c>
      <c r="D42" s="112">
        <f>'MEMÓRIA DEPÓSITO'!I271</f>
        <v>22.39</v>
      </c>
      <c r="E42" s="112" t="s">
        <v>26</v>
      </c>
      <c r="F42" s="106">
        <v>15.4</v>
      </c>
      <c r="G42" s="142">
        <f t="shared" si="0"/>
        <v>344.81</v>
      </c>
    </row>
    <row r="43" spans="1:7" ht="26.25" x14ac:dyDescent="0.25">
      <c r="A43" s="163" t="s">
        <v>388</v>
      </c>
      <c r="B43" s="138" t="s">
        <v>135</v>
      </c>
      <c r="C43" s="118" t="s">
        <v>136</v>
      </c>
      <c r="D43" s="112">
        <f>'MEMÓRIA DEPÓSITO'!I280</f>
        <v>48.62</v>
      </c>
      <c r="E43" s="112" t="s">
        <v>26</v>
      </c>
      <c r="F43" s="106">
        <v>9.25</v>
      </c>
      <c r="G43" s="142">
        <f t="shared" si="0"/>
        <v>449.74</v>
      </c>
    </row>
    <row r="44" spans="1:7" s="100" customFormat="1" ht="26.25" x14ac:dyDescent="0.25">
      <c r="A44" s="163" t="s">
        <v>389</v>
      </c>
      <c r="B44" s="138" t="s">
        <v>477</v>
      </c>
      <c r="C44" s="118" t="s">
        <v>478</v>
      </c>
      <c r="D44" s="112">
        <f>'MEMÓRIA DEPÓSITO'!I287</f>
        <v>22.39</v>
      </c>
      <c r="E44" s="112"/>
      <c r="F44" s="106">
        <v>10.32</v>
      </c>
      <c r="G44" s="142">
        <f t="shared" si="0"/>
        <v>231.06</v>
      </c>
    </row>
    <row r="45" spans="1:7" x14ac:dyDescent="0.25">
      <c r="A45" s="163" t="s">
        <v>390</v>
      </c>
      <c r="B45" s="138" t="s">
        <v>144</v>
      </c>
      <c r="C45" s="118" t="s">
        <v>143</v>
      </c>
      <c r="D45" s="112">
        <f>'MEMÓRIA DEPÓSITO'!I294</f>
        <v>4.55</v>
      </c>
      <c r="E45" s="112" t="s">
        <v>26</v>
      </c>
      <c r="F45" s="106">
        <v>11.91</v>
      </c>
      <c r="G45" s="142">
        <f t="shared" si="0"/>
        <v>54.19</v>
      </c>
    </row>
    <row r="46" spans="1:7" ht="45.75" customHeight="1" thickBot="1" x14ac:dyDescent="0.3">
      <c r="A46" s="163" t="s">
        <v>391</v>
      </c>
      <c r="B46" s="138" t="s">
        <v>320</v>
      </c>
      <c r="C46" s="162" t="s">
        <v>321</v>
      </c>
      <c r="D46" s="161">
        <f>'MEMÓRIA DEPÓSITO'!I302</f>
        <v>5.94</v>
      </c>
      <c r="E46" s="161" t="s">
        <v>26</v>
      </c>
      <c r="F46" s="150">
        <v>31.02</v>
      </c>
      <c r="G46" s="142">
        <f t="shared" si="0"/>
        <v>184.26</v>
      </c>
    </row>
    <row r="47" spans="1:7" ht="15.75" thickBot="1" x14ac:dyDescent="0.3">
      <c r="A47" s="143" t="s">
        <v>133</v>
      </c>
      <c r="B47" s="144"/>
      <c r="C47" s="145" t="s">
        <v>132</v>
      </c>
      <c r="D47" s="144"/>
      <c r="E47" s="144"/>
      <c r="F47" s="144"/>
      <c r="G47" s="154">
        <f>ROUND(SUM(G48:G50),2)</f>
        <v>4388.67</v>
      </c>
    </row>
    <row r="48" spans="1:7" s="100" customFormat="1" ht="26.25" x14ac:dyDescent="0.25">
      <c r="A48" s="152" t="s">
        <v>134</v>
      </c>
      <c r="B48" s="138" t="s">
        <v>490</v>
      </c>
      <c r="C48" s="207" t="s">
        <v>491</v>
      </c>
      <c r="D48" s="140">
        <f>'MEMÓRIA DEPÓSITO'!I312</f>
        <v>39.11</v>
      </c>
      <c r="E48" s="140" t="s">
        <v>26</v>
      </c>
      <c r="F48" s="141">
        <v>18.03</v>
      </c>
      <c r="G48" s="142">
        <f t="shared" si="0"/>
        <v>705.15</v>
      </c>
    </row>
    <row r="49" spans="1:7" s="100" customFormat="1" ht="26.25" x14ac:dyDescent="0.25">
      <c r="A49" s="109" t="s">
        <v>502</v>
      </c>
      <c r="B49" s="138" t="s">
        <v>497</v>
      </c>
      <c r="C49" s="113" t="s">
        <v>498</v>
      </c>
      <c r="D49" s="105">
        <f>'MEMÓRIA DEPÓSITO'!I321</f>
        <v>44.48</v>
      </c>
      <c r="E49" s="105" t="s">
        <v>26</v>
      </c>
      <c r="F49" s="106">
        <v>18</v>
      </c>
      <c r="G49" s="107">
        <f t="shared" si="0"/>
        <v>800.64</v>
      </c>
    </row>
    <row r="50" spans="1:7" ht="27" thickBot="1" x14ac:dyDescent="0.3">
      <c r="A50" s="155" t="s">
        <v>512</v>
      </c>
      <c r="B50" s="138" t="s">
        <v>312</v>
      </c>
      <c r="C50" s="157" t="s">
        <v>313</v>
      </c>
      <c r="D50" s="149">
        <f>'MEMÓRIA DEPÓSITO'!I329</f>
        <v>28.09</v>
      </c>
      <c r="E50" s="149" t="s">
        <v>26</v>
      </c>
      <c r="F50" s="150">
        <v>102.63</v>
      </c>
      <c r="G50" s="151">
        <f t="shared" si="0"/>
        <v>2882.88</v>
      </c>
    </row>
    <row r="51" spans="1:7" s="100" customFormat="1" ht="15.75" thickBot="1" x14ac:dyDescent="0.3">
      <c r="A51" s="143" t="s">
        <v>513</v>
      </c>
      <c r="B51" s="144"/>
      <c r="C51" s="145" t="s">
        <v>501</v>
      </c>
      <c r="D51" s="144"/>
      <c r="E51" s="144"/>
      <c r="F51" s="144"/>
      <c r="G51" s="154">
        <f>ROUND(SUM(G52:G54),2)</f>
        <v>3788.22</v>
      </c>
    </row>
    <row r="52" spans="1:7" s="100" customFormat="1" ht="51.75" x14ac:dyDescent="0.25">
      <c r="A52" s="152" t="s">
        <v>514</v>
      </c>
      <c r="B52" s="138" t="s">
        <v>503</v>
      </c>
      <c r="C52" s="207" t="s">
        <v>504</v>
      </c>
      <c r="D52" s="140">
        <f>'MEMÓRIA DEPÓSITO'!I336</f>
        <v>38.4</v>
      </c>
      <c r="E52" s="140" t="s">
        <v>26</v>
      </c>
      <c r="F52" s="141">
        <v>55.96</v>
      </c>
      <c r="G52" s="142">
        <f t="shared" ref="G52:G54" si="1">ROUND(D52*F52,2)</f>
        <v>2148.86</v>
      </c>
    </row>
    <row r="53" spans="1:7" s="100" customFormat="1" ht="39" x14ac:dyDescent="0.25">
      <c r="A53" s="109" t="s">
        <v>515</v>
      </c>
      <c r="B53" s="138" t="s">
        <v>505</v>
      </c>
      <c r="C53" s="111" t="s">
        <v>506</v>
      </c>
      <c r="D53" s="105">
        <f>'MEMÓRIA DEPÓSITO'!I342</f>
        <v>38.4</v>
      </c>
      <c r="E53" s="105" t="s">
        <v>26</v>
      </c>
      <c r="F53" s="106">
        <v>37.83</v>
      </c>
      <c r="G53" s="107">
        <f t="shared" si="1"/>
        <v>1452.67</v>
      </c>
    </row>
    <row r="54" spans="1:7" s="205" customFormat="1" ht="27" thickBot="1" x14ac:dyDescent="0.3">
      <c r="A54" s="109" t="s">
        <v>529</v>
      </c>
      <c r="B54" s="138" t="s">
        <v>527</v>
      </c>
      <c r="C54" s="157" t="s">
        <v>528</v>
      </c>
      <c r="D54" s="149">
        <f>'MEMÓRIA DEPÓSITO'!I348</f>
        <v>6.4</v>
      </c>
      <c r="E54" s="149" t="s">
        <v>65</v>
      </c>
      <c r="F54" s="150">
        <v>29.17</v>
      </c>
      <c r="G54" s="107">
        <f t="shared" si="1"/>
        <v>186.69</v>
      </c>
    </row>
    <row r="55" spans="1:7" ht="15.75" thickBot="1" x14ac:dyDescent="0.3">
      <c r="A55" s="143" t="s">
        <v>516</v>
      </c>
      <c r="B55" s="144"/>
      <c r="C55" s="166" t="s">
        <v>550</v>
      </c>
      <c r="D55" s="144"/>
      <c r="E55" s="144"/>
      <c r="F55" s="144"/>
      <c r="G55" s="154">
        <f>ROUND(SUM(G56:G66),2)</f>
        <v>431.04</v>
      </c>
    </row>
    <row r="56" spans="1:7" ht="38.25" x14ac:dyDescent="0.25">
      <c r="A56" s="109" t="s">
        <v>10</v>
      </c>
      <c r="B56" s="138" t="s">
        <v>109</v>
      </c>
      <c r="C56" s="251" t="s">
        <v>349</v>
      </c>
      <c r="D56" s="149">
        <v>25</v>
      </c>
      <c r="E56" s="149" t="s">
        <v>65</v>
      </c>
      <c r="F56" s="150">
        <v>2.21</v>
      </c>
      <c r="G56" s="107">
        <f t="shared" ref="G56:G66" si="2">ROUND(D56*F56,2)</f>
        <v>55.25</v>
      </c>
    </row>
    <row r="57" spans="1:7" ht="26.25" x14ac:dyDescent="0.25">
      <c r="A57" s="109" t="s">
        <v>392</v>
      </c>
      <c r="B57" s="138" t="s">
        <v>107</v>
      </c>
      <c r="C57" s="250" t="s">
        <v>352</v>
      </c>
      <c r="D57" s="149">
        <v>1</v>
      </c>
      <c r="E57" s="149" t="s">
        <v>368</v>
      </c>
      <c r="F57" s="150">
        <v>10.14</v>
      </c>
      <c r="G57" s="107">
        <f t="shared" si="2"/>
        <v>10.14</v>
      </c>
    </row>
    <row r="58" spans="1:7" ht="39" x14ac:dyDescent="0.25">
      <c r="A58" s="109" t="s">
        <v>533</v>
      </c>
      <c r="B58" s="138" t="s">
        <v>338</v>
      </c>
      <c r="C58" s="253" t="s">
        <v>354</v>
      </c>
      <c r="D58" s="149">
        <v>10</v>
      </c>
      <c r="E58" s="149" t="s">
        <v>65</v>
      </c>
      <c r="F58" s="150">
        <v>17.48</v>
      </c>
      <c r="G58" s="107">
        <f t="shared" si="2"/>
        <v>174.8</v>
      </c>
    </row>
    <row r="59" spans="1:7" ht="25.5" x14ac:dyDescent="0.25">
      <c r="A59" s="109" t="s">
        <v>534</v>
      </c>
      <c r="B59" s="138" t="s">
        <v>526</v>
      </c>
      <c r="C59" s="255" t="s">
        <v>357</v>
      </c>
      <c r="D59" s="149">
        <v>1</v>
      </c>
      <c r="E59" s="149" t="s">
        <v>368</v>
      </c>
      <c r="F59" s="150">
        <v>58.91</v>
      </c>
      <c r="G59" s="107">
        <f t="shared" si="2"/>
        <v>58.91</v>
      </c>
    </row>
    <row r="60" spans="1:7" ht="51" x14ac:dyDescent="0.25">
      <c r="A60" s="109" t="s">
        <v>535</v>
      </c>
      <c r="B60" s="138" t="s">
        <v>341</v>
      </c>
      <c r="C60" s="256" t="s">
        <v>358</v>
      </c>
      <c r="D60" s="149">
        <v>2</v>
      </c>
      <c r="E60" s="149" t="s">
        <v>368</v>
      </c>
      <c r="F60" s="150">
        <v>0.94905000000000006</v>
      </c>
      <c r="G60" s="107">
        <f t="shared" si="2"/>
        <v>1.9</v>
      </c>
    </row>
    <row r="61" spans="1:7" ht="26.25" x14ac:dyDescent="0.25">
      <c r="A61" s="109" t="s">
        <v>536</v>
      </c>
      <c r="B61" s="138" t="s">
        <v>339</v>
      </c>
      <c r="C61" s="253" t="s">
        <v>359</v>
      </c>
      <c r="D61" s="149">
        <v>2</v>
      </c>
      <c r="E61" s="149" t="s">
        <v>368</v>
      </c>
      <c r="F61" s="150">
        <v>3.008</v>
      </c>
      <c r="G61" s="107">
        <f t="shared" si="2"/>
        <v>6.02</v>
      </c>
    </row>
    <row r="62" spans="1:7" ht="39" x14ac:dyDescent="0.25">
      <c r="A62" s="109" t="s">
        <v>537</v>
      </c>
      <c r="B62" s="138" t="s">
        <v>340</v>
      </c>
      <c r="C62" s="253" t="s">
        <v>360</v>
      </c>
      <c r="D62" s="149">
        <v>1</v>
      </c>
      <c r="E62" s="149" t="s">
        <v>368</v>
      </c>
      <c r="F62" s="150">
        <v>0.55361000000000005</v>
      </c>
      <c r="G62" s="107">
        <f t="shared" si="2"/>
        <v>0.55000000000000004</v>
      </c>
    </row>
    <row r="63" spans="1:7" ht="39" x14ac:dyDescent="0.25">
      <c r="A63" s="109" t="s">
        <v>538</v>
      </c>
      <c r="B63" s="138" t="s">
        <v>539</v>
      </c>
      <c r="C63" s="253" t="s">
        <v>361</v>
      </c>
      <c r="D63" s="149">
        <v>2</v>
      </c>
      <c r="E63" s="149" t="s">
        <v>368</v>
      </c>
      <c r="F63" s="150">
        <v>37.599999999999994</v>
      </c>
      <c r="G63" s="107">
        <f t="shared" si="2"/>
        <v>75.2</v>
      </c>
    </row>
    <row r="64" spans="1:7" x14ac:dyDescent="0.25">
      <c r="A64" s="109" t="s">
        <v>540</v>
      </c>
      <c r="B64" s="138" t="s">
        <v>343</v>
      </c>
      <c r="C64" s="253" t="s">
        <v>363</v>
      </c>
      <c r="D64" s="149">
        <v>1</v>
      </c>
      <c r="E64" s="149" t="s">
        <v>368</v>
      </c>
      <c r="F64" s="150">
        <v>25.29</v>
      </c>
      <c r="G64" s="107">
        <f t="shared" si="2"/>
        <v>25.29</v>
      </c>
    </row>
    <row r="65" spans="1:7" ht="26.25" x14ac:dyDescent="0.25">
      <c r="A65" s="109" t="s">
        <v>541</v>
      </c>
      <c r="B65" s="138" t="s">
        <v>344</v>
      </c>
      <c r="C65" s="257" t="s">
        <v>364</v>
      </c>
      <c r="D65" s="149">
        <v>1</v>
      </c>
      <c r="E65" s="149" t="s">
        <v>368</v>
      </c>
      <c r="F65" s="150">
        <v>17.23</v>
      </c>
      <c r="G65" s="107">
        <f t="shared" si="2"/>
        <v>17.23</v>
      </c>
    </row>
    <row r="66" spans="1:7" ht="27" thickBot="1" x14ac:dyDescent="0.3">
      <c r="A66" s="109" t="s">
        <v>542</v>
      </c>
      <c r="B66" s="138" t="s">
        <v>345</v>
      </c>
      <c r="C66" s="250" t="s">
        <v>365</v>
      </c>
      <c r="D66" s="149">
        <v>5</v>
      </c>
      <c r="E66" s="149" t="s">
        <v>368</v>
      </c>
      <c r="F66" s="150">
        <v>1.1499999999999999</v>
      </c>
      <c r="G66" s="107">
        <f t="shared" si="2"/>
        <v>5.75</v>
      </c>
    </row>
    <row r="67" spans="1:7" ht="15.75" thickBot="1" x14ac:dyDescent="0.3">
      <c r="A67" s="143" t="s">
        <v>517</v>
      </c>
      <c r="B67" s="144"/>
      <c r="C67" s="166" t="s">
        <v>102</v>
      </c>
      <c r="D67" s="144"/>
      <c r="E67" s="144"/>
      <c r="F67" s="144"/>
      <c r="G67" s="154">
        <f>SUM(G68:G68)</f>
        <v>329.4</v>
      </c>
    </row>
    <row r="68" spans="1:7" ht="15.75" thickBot="1" x14ac:dyDescent="0.3">
      <c r="A68" s="175" t="s">
        <v>518</v>
      </c>
      <c r="B68" s="138" t="s">
        <v>106</v>
      </c>
      <c r="C68" s="177" t="s">
        <v>103</v>
      </c>
      <c r="D68" s="178">
        <v>180</v>
      </c>
      <c r="E68" s="178" t="s">
        <v>26</v>
      </c>
      <c r="F68" s="179">
        <v>1.83</v>
      </c>
      <c r="G68" s="180">
        <f>ROUND(D68*F68,2)</f>
        <v>329.4</v>
      </c>
    </row>
    <row r="69" spans="1:7" x14ac:dyDescent="0.25">
      <c r="A69" s="345" t="s">
        <v>24</v>
      </c>
      <c r="B69" s="346"/>
      <c r="C69" s="347"/>
      <c r="D69" s="208"/>
      <c r="E69" s="208"/>
      <c r="F69" s="209"/>
      <c r="G69" s="212">
        <f>ROUND(SUM(G7+G10+G14+G19+G21+G29+G34+G38+G47+G51+G55+G67),2)</f>
        <v>29723.27</v>
      </c>
    </row>
    <row r="70" spans="1:7" x14ac:dyDescent="0.25">
      <c r="A70" s="348" t="s">
        <v>141</v>
      </c>
      <c r="B70" s="349"/>
      <c r="C70" s="350"/>
      <c r="D70" s="125"/>
      <c r="E70" s="125"/>
      <c r="F70" s="210"/>
      <c r="G70" s="213">
        <f>ROUND(G69*0.2522,2)</f>
        <v>7496.21</v>
      </c>
    </row>
    <row r="71" spans="1:7" ht="15.75" thickBot="1" x14ac:dyDescent="0.3">
      <c r="A71" s="351" t="s">
        <v>25</v>
      </c>
      <c r="B71" s="352"/>
      <c r="C71" s="353"/>
      <c r="D71" s="127"/>
      <c r="E71" s="127"/>
      <c r="F71" s="211"/>
      <c r="G71" s="214">
        <f>ROUND(G69+G70,2)</f>
        <v>37219.480000000003</v>
      </c>
    </row>
    <row r="82" spans="1:7" x14ac:dyDescent="0.25">
      <c r="A82" s="344" t="s">
        <v>399</v>
      </c>
      <c r="B82" s="344"/>
      <c r="C82" s="344"/>
      <c r="D82" s="344"/>
      <c r="E82" s="344"/>
      <c r="F82" s="344"/>
      <c r="G82" s="344"/>
    </row>
    <row r="83" spans="1:7" x14ac:dyDescent="0.25">
      <c r="A83" s="344" t="s">
        <v>395</v>
      </c>
      <c r="B83" s="344"/>
      <c r="C83" s="344"/>
      <c r="D83" s="344"/>
      <c r="E83" s="344"/>
      <c r="F83" s="344"/>
      <c r="G83" s="344"/>
    </row>
    <row r="84" spans="1:7" x14ac:dyDescent="0.25">
      <c r="A84" s="344" t="s">
        <v>396</v>
      </c>
      <c r="B84" s="344"/>
      <c r="C84" s="344"/>
      <c r="D84" s="344"/>
      <c r="E84" s="344"/>
      <c r="F84" s="344"/>
      <c r="G84" s="344"/>
    </row>
    <row r="85" spans="1:7" x14ac:dyDescent="0.25">
      <c r="A85" s="344" t="s">
        <v>397</v>
      </c>
      <c r="B85" s="344"/>
      <c r="C85" s="344"/>
      <c r="D85" s="344"/>
      <c r="E85" s="344"/>
      <c r="F85" s="344"/>
      <c r="G85" s="344"/>
    </row>
    <row r="86" spans="1:7" x14ac:dyDescent="0.25">
      <c r="A86" s="344" t="s">
        <v>398</v>
      </c>
      <c r="B86" s="344"/>
      <c r="C86" s="344"/>
      <c r="D86" s="344"/>
      <c r="E86" s="344"/>
      <c r="F86" s="344"/>
      <c r="G86" s="344"/>
    </row>
  </sheetData>
  <mergeCells count="18">
    <mergeCell ref="A82:G82"/>
    <mergeCell ref="A83:G83"/>
    <mergeCell ref="A84:G84"/>
    <mergeCell ref="A85:G85"/>
    <mergeCell ref="A86:G86"/>
    <mergeCell ref="A69:C69"/>
    <mergeCell ref="A70:C70"/>
    <mergeCell ref="A71:C71"/>
    <mergeCell ref="A2:G2"/>
    <mergeCell ref="A3:G3"/>
    <mergeCell ref="A4:C4"/>
    <mergeCell ref="E4:G4"/>
    <mergeCell ref="A5:A6"/>
    <mergeCell ref="B5:B6"/>
    <mergeCell ref="C5:C6"/>
    <mergeCell ref="D5:D6"/>
    <mergeCell ref="E5:E6"/>
    <mergeCell ref="G5:G6"/>
  </mergeCells>
  <pageMargins left="0.78740157480314965" right="0.78740157480314965" top="0.78740157480314965" bottom="0.78740157480314965" header="0" footer="0"/>
  <pageSetup paperSize="9" scale="60" orientation="portrait" verticalDpi="0" r:id="rId1"/>
  <drawing r:id="rId2"/>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348"/>
  <sheetViews>
    <sheetView view="pageBreakPreview" topLeftCell="A66" zoomScaleNormal="100" zoomScaleSheetLayoutView="100" workbookViewId="0">
      <selection activeCell="C74" sqref="C74:L74"/>
    </sheetView>
  </sheetViews>
  <sheetFormatPr defaultRowHeight="15" x14ac:dyDescent="0.25"/>
  <cols>
    <col min="2" max="2" width="14.28515625" customWidth="1"/>
  </cols>
  <sheetData>
    <row r="2" spans="1:14" ht="15.75" thickBot="1" x14ac:dyDescent="0.3"/>
    <row r="3" spans="1:14" ht="16.5" thickBot="1" x14ac:dyDescent="0.3">
      <c r="A3" s="453" t="s">
        <v>574</v>
      </c>
      <c r="B3" s="454"/>
      <c r="C3" s="454"/>
      <c r="D3" s="454"/>
      <c r="E3" s="454"/>
      <c r="F3" s="454"/>
      <c r="G3" s="454"/>
      <c r="H3" s="454"/>
      <c r="I3" s="454"/>
      <c r="J3" s="454"/>
      <c r="K3" s="454"/>
      <c r="L3" s="455"/>
    </row>
    <row r="4" spans="1:14" ht="15.75" thickBot="1" x14ac:dyDescent="0.3">
      <c r="A4" s="297"/>
      <c r="B4" s="298"/>
      <c r="C4" s="298"/>
      <c r="D4" s="298"/>
      <c r="E4" s="298"/>
      <c r="F4" s="298"/>
      <c r="G4" s="298"/>
      <c r="H4" s="298"/>
      <c r="I4" s="298"/>
      <c r="J4" s="298"/>
      <c r="K4" s="298"/>
      <c r="L4" s="299"/>
    </row>
    <row r="5" spans="1:14" ht="15.75" thickBot="1" x14ac:dyDescent="0.3">
      <c r="A5" s="311" t="s">
        <v>9</v>
      </c>
      <c r="B5" s="313" t="s">
        <v>104</v>
      </c>
      <c r="C5" s="313"/>
      <c r="D5" s="313"/>
      <c r="E5" s="313"/>
      <c r="F5" s="313"/>
      <c r="G5" s="313"/>
      <c r="H5" s="313"/>
      <c r="I5" s="315"/>
      <c r="J5" s="315"/>
      <c r="K5" s="315"/>
      <c r="L5" s="316"/>
    </row>
    <row r="6" spans="1:14" x14ac:dyDescent="0.25">
      <c r="A6" s="300" t="s">
        <v>10</v>
      </c>
      <c r="B6" s="302" t="s">
        <v>401</v>
      </c>
      <c r="C6" s="302" t="s">
        <v>402</v>
      </c>
      <c r="D6" s="301"/>
      <c r="E6" s="301"/>
      <c r="F6" s="301"/>
      <c r="G6" s="301"/>
      <c r="H6" s="301"/>
      <c r="I6" s="298"/>
      <c r="J6" s="298"/>
      <c r="K6" s="298"/>
      <c r="L6" s="299"/>
    </row>
    <row r="7" spans="1:14" x14ac:dyDescent="0.25">
      <c r="A7" s="297"/>
      <c r="B7" s="298"/>
      <c r="C7" s="298" t="s">
        <v>403</v>
      </c>
      <c r="D7" s="298" t="s">
        <v>404</v>
      </c>
      <c r="E7" s="298"/>
      <c r="F7" s="298"/>
      <c r="G7" s="298"/>
      <c r="H7" s="298"/>
      <c r="I7" s="298" t="s">
        <v>277</v>
      </c>
      <c r="J7" s="298"/>
      <c r="K7" s="298"/>
      <c r="L7" s="299"/>
    </row>
    <row r="8" spans="1:14" x14ac:dyDescent="0.25">
      <c r="A8" s="297"/>
      <c r="B8" s="298"/>
      <c r="C8" s="298">
        <v>8.6</v>
      </c>
      <c r="D8" s="298">
        <v>1</v>
      </c>
      <c r="E8" s="298"/>
      <c r="F8" s="298"/>
      <c r="G8" s="298"/>
      <c r="H8" s="298"/>
      <c r="I8" s="298">
        <f>C8*D8</f>
        <v>8.6</v>
      </c>
      <c r="J8" s="298"/>
      <c r="K8" s="298"/>
      <c r="L8" s="299"/>
    </row>
    <row r="9" spans="1:14" x14ac:dyDescent="0.25">
      <c r="A9" s="297"/>
      <c r="B9" s="301" t="s">
        <v>409</v>
      </c>
      <c r="C9" s="301"/>
      <c r="D9" s="301"/>
      <c r="E9" s="301"/>
      <c r="F9" s="301"/>
      <c r="G9" s="301"/>
      <c r="H9" s="301"/>
      <c r="I9" s="301">
        <f>I8</f>
        <v>8.6</v>
      </c>
      <c r="J9" s="298"/>
      <c r="K9" s="298"/>
      <c r="L9" s="299"/>
    </row>
    <row r="10" spans="1:14" s="100" customFormat="1" x14ac:dyDescent="0.25">
      <c r="A10" s="297"/>
      <c r="B10" s="298"/>
      <c r="C10" s="301"/>
      <c r="D10" s="301"/>
      <c r="E10" s="301"/>
      <c r="F10" s="301"/>
      <c r="G10" s="301"/>
      <c r="H10" s="301"/>
      <c r="I10" s="301"/>
      <c r="J10" s="298"/>
      <c r="K10" s="298"/>
      <c r="L10" s="299"/>
    </row>
    <row r="11" spans="1:14" s="100" customFormat="1" ht="29.25" customHeight="1" x14ac:dyDescent="0.25">
      <c r="A11" s="300" t="s">
        <v>392</v>
      </c>
      <c r="B11" s="301" t="s">
        <v>413</v>
      </c>
      <c r="C11" s="441" t="s">
        <v>412</v>
      </c>
      <c r="D11" s="441"/>
      <c r="E11" s="441"/>
      <c r="F11" s="441"/>
      <c r="G11" s="441"/>
      <c r="H11" s="441"/>
      <c r="I11" s="441"/>
      <c r="J11" s="441"/>
      <c r="K11" s="441"/>
      <c r="L11" s="442"/>
      <c r="M11"/>
      <c r="N11"/>
    </row>
    <row r="12" spans="1:14" x14ac:dyDescent="0.25">
      <c r="A12" s="297"/>
      <c r="B12" s="298"/>
      <c r="C12" s="298" t="s">
        <v>408</v>
      </c>
      <c r="D12" s="298" t="s">
        <v>251</v>
      </c>
      <c r="E12" s="298"/>
      <c r="F12" s="298"/>
      <c r="G12" s="298"/>
      <c r="H12" s="298"/>
      <c r="I12" s="298"/>
      <c r="J12" s="298"/>
      <c r="K12" s="298"/>
      <c r="L12" s="299"/>
    </row>
    <row r="13" spans="1:14" s="100" customFormat="1" x14ac:dyDescent="0.25">
      <c r="A13" s="297"/>
      <c r="B13" s="298"/>
      <c r="C13" s="298">
        <v>8.6</v>
      </c>
      <c r="D13" s="298">
        <v>1</v>
      </c>
      <c r="E13" s="298"/>
      <c r="F13" s="298"/>
      <c r="G13" s="298"/>
      <c r="H13" s="298"/>
      <c r="I13" s="298">
        <f>ROUND(C13*D13*1.2,2)</f>
        <v>10.32</v>
      </c>
      <c r="J13" s="298"/>
      <c r="K13" s="298"/>
      <c r="L13" s="299"/>
    </row>
    <row r="14" spans="1:14" s="100" customFormat="1" x14ac:dyDescent="0.25">
      <c r="A14" s="297"/>
      <c r="B14" s="298"/>
      <c r="C14" s="298"/>
      <c r="D14" s="298"/>
      <c r="E14" s="298"/>
      <c r="F14" s="298"/>
      <c r="G14" s="298"/>
      <c r="H14" s="298"/>
      <c r="I14" s="298"/>
      <c r="J14" s="298"/>
      <c r="K14" s="298"/>
      <c r="L14" s="299"/>
    </row>
    <row r="15" spans="1:14" s="100" customFormat="1" x14ac:dyDescent="0.25">
      <c r="A15" s="297"/>
      <c r="B15" s="301" t="s">
        <v>409</v>
      </c>
      <c r="C15" s="301"/>
      <c r="D15" s="301"/>
      <c r="E15" s="301"/>
      <c r="F15" s="301"/>
      <c r="G15" s="301"/>
      <c r="H15" s="301"/>
      <c r="I15" s="301">
        <f>I13</f>
        <v>10.32</v>
      </c>
      <c r="J15" s="298"/>
      <c r="K15" s="298"/>
      <c r="L15" s="299"/>
    </row>
    <row r="16" spans="1:14" s="100" customFormat="1" ht="15.75" thickBot="1" x14ac:dyDescent="0.3">
      <c r="A16" s="305"/>
      <c r="B16" s="306"/>
      <c r="C16" s="306"/>
      <c r="D16" s="306"/>
      <c r="E16" s="306"/>
      <c r="F16" s="306"/>
      <c r="G16" s="306"/>
      <c r="H16" s="306"/>
      <c r="I16" s="306"/>
      <c r="J16" s="307"/>
      <c r="K16" s="307"/>
      <c r="L16" s="308"/>
    </row>
    <row r="17" spans="1:12" ht="15.75" thickBot="1" x14ac:dyDescent="0.3">
      <c r="A17" s="311" t="s">
        <v>12</v>
      </c>
      <c r="B17" s="313" t="s">
        <v>405</v>
      </c>
      <c r="C17" s="313"/>
      <c r="D17" s="313"/>
      <c r="E17" s="313"/>
      <c r="F17" s="313"/>
      <c r="G17" s="313"/>
      <c r="H17" s="313"/>
      <c r="I17" s="313"/>
      <c r="J17" s="313"/>
      <c r="K17" s="313"/>
      <c r="L17" s="314"/>
    </row>
    <row r="18" spans="1:12" x14ac:dyDescent="0.25">
      <c r="A18" s="300" t="s">
        <v>13</v>
      </c>
      <c r="B18" s="302" t="s">
        <v>406</v>
      </c>
      <c r="C18" s="443" t="s">
        <v>407</v>
      </c>
      <c r="D18" s="443"/>
      <c r="E18" s="443"/>
      <c r="F18" s="443"/>
      <c r="G18" s="443"/>
      <c r="H18" s="443"/>
      <c r="I18" s="443"/>
      <c r="J18" s="443"/>
      <c r="K18" s="443"/>
      <c r="L18" s="444"/>
    </row>
    <row r="19" spans="1:12" x14ac:dyDescent="0.25">
      <c r="A19" s="297"/>
      <c r="B19" s="298"/>
      <c r="C19" s="298" t="s">
        <v>408</v>
      </c>
      <c r="D19" s="298" t="s">
        <v>251</v>
      </c>
      <c r="E19" s="298" t="s">
        <v>252</v>
      </c>
      <c r="F19" s="298"/>
      <c r="G19" s="298"/>
      <c r="H19" s="298"/>
      <c r="I19" s="298" t="s">
        <v>254</v>
      </c>
      <c r="J19" s="298"/>
      <c r="K19" s="298"/>
      <c r="L19" s="299"/>
    </row>
    <row r="20" spans="1:12" x14ac:dyDescent="0.25">
      <c r="A20" s="297"/>
      <c r="B20" s="298"/>
      <c r="C20" s="298">
        <v>3.7</v>
      </c>
      <c r="D20" s="298">
        <v>0.5</v>
      </c>
      <c r="E20" s="298">
        <v>0.5</v>
      </c>
      <c r="F20" s="298"/>
      <c r="G20" s="298"/>
      <c r="H20" s="298"/>
      <c r="I20" s="298">
        <f>ROUND(C20*D20*E20,2)</f>
        <v>0.93</v>
      </c>
      <c r="J20" s="298"/>
      <c r="K20" s="298"/>
      <c r="L20" s="299"/>
    </row>
    <row r="21" spans="1:12" x14ac:dyDescent="0.25">
      <c r="A21" s="297"/>
      <c r="B21" s="298"/>
      <c r="C21" s="298">
        <v>3.7</v>
      </c>
      <c r="D21" s="298">
        <v>0.5</v>
      </c>
      <c r="E21" s="298">
        <v>0.5</v>
      </c>
      <c r="F21" s="298"/>
      <c r="G21" s="298"/>
      <c r="H21" s="298"/>
      <c r="I21" s="298">
        <f t="shared" ref="I21:I23" si="0">ROUND(C21*D21*E21,2)</f>
        <v>0.93</v>
      </c>
      <c r="J21" s="298"/>
      <c r="K21" s="298"/>
      <c r="L21" s="299"/>
    </row>
    <row r="22" spans="1:12" x14ac:dyDescent="0.25">
      <c r="A22" s="297"/>
      <c r="B22" s="298"/>
      <c r="C22" s="298">
        <v>6.4</v>
      </c>
      <c r="D22" s="298">
        <v>0.5</v>
      </c>
      <c r="E22" s="298">
        <v>0.5</v>
      </c>
      <c r="F22" s="298"/>
      <c r="G22" s="298"/>
      <c r="H22" s="298"/>
      <c r="I22" s="298">
        <f t="shared" si="0"/>
        <v>1.6</v>
      </c>
      <c r="J22" s="298"/>
      <c r="K22" s="298"/>
      <c r="L22" s="299"/>
    </row>
    <row r="23" spans="1:12" x14ac:dyDescent="0.25">
      <c r="A23" s="297"/>
      <c r="B23" s="298"/>
      <c r="C23" s="298">
        <v>6.4</v>
      </c>
      <c r="D23" s="298">
        <v>0.5</v>
      </c>
      <c r="E23" s="298">
        <v>0.5</v>
      </c>
      <c r="F23" s="298"/>
      <c r="G23" s="298"/>
      <c r="H23" s="298"/>
      <c r="I23" s="298">
        <f t="shared" si="0"/>
        <v>1.6</v>
      </c>
      <c r="J23" s="298"/>
      <c r="K23" s="298"/>
      <c r="L23" s="299"/>
    </row>
    <row r="24" spans="1:12" x14ac:dyDescent="0.25">
      <c r="A24" s="297"/>
      <c r="B24" s="301" t="s">
        <v>409</v>
      </c>
      <c r="C24" s="301"/>
      <c r="D24" s="301"/>
      <c r="E24" s="301"/>
      <c r="F24" s="301"/>
      <c r="G24" s="301"/>
      <c r="H24" s="301"/>
      <c r="I24" s="301">
        <f>SUM(I20:I23,2)</f>
        <v>7.0600000000000005</v>
      </c>
      <c r="J24" s="298"/>
      <c r="K24" s="298"/>
      <c r="L24" s="299"/>
    </row>
    <row r="25" spans="1:12" s="100" customFormat="1" x14ac:dyDescent="0.25">
      <c r="A25" s="297"/>
      <c r="B25" s="301"/>
      <c r="C25" s="301"/>
      <c r="D25" s="301"/>
      <c r="E25" s="301"/>
      <c r="F25" s="301"/>
      <c r="G25" s="301"/>
      <c r="H25" s="301"/>
      <c r="I25" s="301"/>
      <c r="J25" s="298"/>
      <c r="K25" s="298"/>
      <c r="L25" s="299"/>
    </row>
    <row r="26" spans="1:12" x14ac:dyDescent="0.25">
      <c r="A26" s="300" t="s">
        <v>16</v>
      </c>
      <c r="B26" s="301" t="s">
        <v>410</v>
      </c>
      <c r="C26" s="445" t="s">
        <v>411</v>
      </c>
      <c r="D26" s="445"/>
      <c r="E26" s="445"/>
      <c r="F26" s="445"/>
      <c r="G26" s="445"/>
      <c r="H26" s="445"/>
      <c r="I26" s="445"/>
      <c r="J26" s="445"/>
      <c r="K26" s="445"/>
      <c r="L26" s="446"/>
    </row>
    <row r="27" spans="1:12" x14ac:dyDescent="0.25">
      <c r="A27" s="297"/>
      <c r="B27" s="298"/>
      <c r="C27" s="298" t="s">
        <v>403</v>
      </c>
      <c r="D27" s="298" t="s">
        <v>251</v>
      </c>
      <c r="E27" s="298" t="s">
        <v>252</v>
      </c>
      <c r="F27" s="298"/>
      <c r="G27" s="298"/>
      <c r="H27" s="298"/>
      <c r="I27" s="298"/>
      <c r="J27" s="298"/>
      <c r="K27" s="298"/>
      <c r="L27" s="299"/>
    </row>
    <row r="28" spans="1:12" x14ac:dyDescent="0.25">
      <c r="A28" s="297"/>
      <c r="B28" s="298"/>
      <c r="C28" s="298">
        <v>8.5</v>
      </c>
      <c r="D28" s="298">
        <v>5.2</v>
      </c>
      <c r="E28" s="298">
        <v>0.5</v>
      </c>
      <c r="F28" s="298"/>
      <c r="G28" s="298"/>
      <c r="H28" s="298"/>
      <c r="I28" s="298">
        <f>ROUND(C28*D28*E28,2)*1.2</f>
        <v>26.52</v>
      </c>
      <c r="J28" s="298"/>
      <c r="K28" s="298"/>
      <c r="L28" s="299"/>
    </row>
    <row r="29" spans="1:12" x14ac:dyDescent="0.25">
      <c r="A29" s="297"/>
      <c r="B29" s="298"/>
      <c r="C29" s="298"/>
      <c r="D29" s="298"/>
      <c r="E29" s="298"/>
      <c r="F29" s="298"/>
      <c r="G29" s="298"/>
      <c r="H29" s="298"/>
      <c r="I29" s="298"/>
      <c r="J29" s="298"/>
      <c r="K29" s="298"/>
      <c r="L29" s="299"/>
    </row>
    <row r="30" spans="1:12" x14ac:dyDescent="0.25">
      <c r="A30" s="297"/>
      <c r="B30" s="301" t="s">
        <v>409</v>
      </c>
      <c r="C30" s="301"/>
      <c r="D30" s="301"/>
      <c r="E30" s="301"/>
      <c r="F30" s="301"/>
      <c r="G30" s="301"/>
      <c r="H30" s="301"/>
      <c r="I30" s="301">
        <f>I28</f>
        <v>26.52</v>
      </c>
      <c r="J30" s="298"/>
      <c r="K30" s="298"/>
      <c r="L30" s="299"/>
    </row>
    <row r="31" spans="1:12" s="100" customFormat="1" x14ac:dyDescent="0.25">
      <c r="A31" s="297"/>
      <c r="B31" s="301"/>
      <c r="C31" s="301"/>
      <c r="D31" s="301"/>
      <c r="E31" s="301"/>
      <c r="F31" s="301"/>
      <c r="G31" s="301"/>
      <c r="H31" s="301"/>
      <c r="I31" s="301"/>
      <c r="J31" s="298"/>
      <c r="K31" s="298"/>
      <c r="L31" s="299"/>
    </row>
    <row r="32" spans="1:12" s="100" customFormat="1" ht="30" customHeight="1" x14ac:dyDescent="0.25">
      <c r="A32" s="300" t="s">
        <v>314</v>
      </c>
      <c r="B32" s="301" t="s">
        <v>413</v>
      </c>
      <c r="C32" s="441" t="s">
        <v>412</v>
      </c>
      <c r="D32" s="441"/>
      <c r="E32" s="441"/>
      <c r="F32" s="441"/>
      <c r="G32" s="441"/>
      <c r="H32" s="441"/>
      <c r="I32" s="441"/>
      <c r="J32" s="441"/>
      <c r="K32" s="441"/>
      <c r="L32" s="442"/>
    </row>
    <row r="33" spans="1:12" s="100" customFormat="1" x14ac:dyDescent="0.25">
      <c r="A33" s="297"/>
      <c r="B33" s="298"/>
      <c r="C33" s="298" t="s">
        <v>408</v>
      </c>
      <c r="D33" s="298" t="s">
        <v>251</v>
      </c>
      <c r="E33" s="298" t="s">
        <v>252</v>
      </c>
      <c r="F33" s="298" t="s">
        <v>519</v>
      </c>
      <c r="G33" s="298"/>
      <c r="H33" s="298"/>
      <c r="I33" s="298"/>
      <c r="J33" s="298"/>
      <c r="K33" s="298"/>
      <c r="L33" s="299"/>
    </row>
    <row r="34" spans="1:12" s="100" customFormat="1" x14ac:dyDescent="0.25">
      <c r="A34" s="297"/>
      <c r="B34" s="298"/>
      <c r="C34" s="298">
        <v>8.5</v>
      </c>
      <c r="D34" s="298">
        <v>5.2</v>
      </c>
      <c r="E34" s="298">
        <v>0.5</v>
      </c>
      <c r="F34" s="298">
        <v>5</v>
      </c>
      <c r="G34" s="298"/>
      <c r="H34" s="298"/>
      <c r="I34" s="298">
        <f>ROUND(C34*D34*E34*F34,2)*1.2</f>
        <v>132.6</v>
      </c>
      <c r="J34" s="298"/>
      <c r="K34" s="298"/>
      <c r="L34" s="299"/>
    </row>
    <row r="35" spans="1:12" s="100" customFormat="1" x14ac:dyDescent="0.25">
      <c r="A35" s="297"/>
      <c r="B35" s="298"/>
      <c r="C35" s="298"/>
      <c r="D35" s="298"/>
      <c r="E35" s="298"/>
      <c r="F35" s="298"/>
      <c r="G35" s="298"/>
      <c r="H35" s="298"/>
      <c r="I35" s="298"/>
      <c r="J35" s="298"/>
      <c r="K35" s="298"/>
      <c r="L35" s="299"/>
    </row>
    <row r="36" spans="1:12" s="100" customFormat="1" x14ac:dyDescent="0.25">
      <c r="A36" s="297"/>
      <c r="B36" s="301" t="s">
        <v>409</v>
      </c>
      <c r="C36" s="301"/>
      <c r="D36" s="301"/>
      <c r="E36" s="301"/>
      <c r="F36" s="301"/>
      <c r="G36" s="301"/>
      <c r="H36" s="301"/>
      <c r="I36" s="301">
        <f>I34</f>
        <v>132.6</v>
      </c>
      <c r="J36" s="298"/>
      <c r="K36" s="298"/>
      <c r="L36" s="299"/>
    </row>
    <row r="37" spans="1:12" ht="15.75" thickBot="1" x14ac:dyDescent="0.3">
      <c r="A37" s="305"/>
      <c r="B37" s="307"/>
      <c r="C37" s="307"/>
      <c r="D37" s="307"/>
      <c r="E37" s="307"/>
      <c r="F37" s="307"/>
      <c r="G37" s="307"/>
      <c r="H37" s="307"/>
      <c r="I37" s="307"/>
      <c r="J37" s="307"/>
      <c r="K37" s="307"/>
      <c r="L37" s="308"/>
    </row>
    <row r="38" spans="1:12" ht="15.75" thickBot="1" x14ac:dyDescent="0.3">
      <c r="A38" s="311" t="s">
        <v>17</v>
      </c>
      <c r="B38" s="313" t="s">
        <v>414</v>
      </c>
      <c r="C38" s="313"/>
      <c r="D38" s="313"/>
      <c r="E38" s="313"/>
      <c r="F38" s="313"/>
      <c r="G38" s="313"/>
      <c r="H38" s="313"/>
      <c r="I38" s="313"/>
      <c r="J38" s="313"/>
      <c r="K38" s="313"/>
      <c r="L38" s="314"/>
    </row>
    <row r="39" spans="1:12" s="100" customFormat="1" ht="30.75" customHeight="1" x14ac:dyDescent="0.25">
      <c r="A39" s="300" t="s">
        <v>52</v>
      </c>
      <c r="B39" s="303" t="str">
        <f>'PLANILHA DEPÓSITO'!B15</f>
        <v>96619/SINAPI</v>
      </c>
      <c r="C39" s="447" t="str">
        <f>'PLANILHA DEPÓSITO'!C15</f>
        <v>LASTRO DE CONCRETO MAGRO, APLICADO EM BLOCOS DE COROAMENTO OU SAPATAS, ESPESSURA DE 5 CM. AF_08/2017</v>
      </c>
      <c r="D39" s="447"/>
      <c r="E39" s="447"/>
      <c r="F39" s="447"/>
      <c r="G39" s="447"/>
      <c r="H39" s="447"/>
      <c r="I39" s="447"/>
      <c r="J39" s="447"/>
      <c r="K39" s="447"/>
      <c r="L39" s="448"/>
    </row>
    <row r="40" spans="1:12" s="100" customFormat="1" x14ac:dyDescent="0.25">
      <c r="A40" s="297"/>
      <c r="B40" s="298"/>
      <c r="C40" s="298" t="s">
        <v>408</v>
      </c>
      <c r="D40" s="298" t="s">
        <v>251</v>
      </c>
      <c r="E40" s="298"/>
      <c r="F40" s="298" t="s">
        <v>268</v>
      </c>
      <c r="G40" s="298"/>
      <c r="H40" s="298"/>
      <c r="I40" s="298"/>
      <c r="J40" s="298"/>
      <c r="K40" s="298"/>
      <c r="L40" s="299"/>
    </row>
    <row r="41" spans="1:12" s="100" customFormat="1" x14ac:dyDescent="0.25">
      <c r="A41" s="297"/>
      <c r="B41" s="298" t="s">
        <v>445</v>
      </c>
      <c r="C41" s="298">
        <v>0.8</v>
      </c>
      <c r="D41" s="298">
        <v>0.8</v>
      </c>
      <c r="E41" s="298"/>
      <c r="F41" s="298">
        <v>6</v>
      </c>
      <c r="G41" s="298"/>
      <c r="H41" s="298"/>
      <c r="I41" s="301">
        <f>ROUND(C41*D41*F41,2)</f>
        <v>3.84</v>
      </c>
      <c r="J41" s="298"/>
      <c r="K41" s="298"/>
      <c r="L41" s="299"/>
    </row>
    <row r="42" spans="1:12" s="100" customFormat="1" x14ac:dyDescent="0.25">
      <c r="A42" s="297"/>
      <c r="B42" s="298"/>
      <c r="C42" s="298"/>
      <c r="D42" s="298"/>
      <c r="E42" s="298"/>
      <c r="F42" s="298"/>
      <c r="G42" s="298"/>
      <c r="H42" s="298"/>
      <c r="I42" s="298"/>
      <c r="J42" s="298"/>
      <c r="K42" s="298"/>
      <c r="L42" s="299"/>
    </row>
    <row r="43" spans="1:12" s="100" customFormat="1" x14ac:dyDescent="0.25">
      <c r="A43" s="297"/>
      <c r="B43" s="301" t="s">
        <v>409</v>
      </c>
      <c r="C43" s="301"/>
      <c r="D43" s="301"/>
      <c r="E43" s="301"/>
      <c r="F43" s="301"/>
      <c r="G43" s="301"/>
      <c r="H43" s="301"/>
      <c r="I43" s="301">
        <f>I41</f>
        <v>3.84</v>
      </c>
      <c r="J43" s="298"/>
      <c r="K43" s="298"/>
      <c r="L43" s="299"/>
    </row>
    <row r="44" spans="1:12" s="100" customFormat="1" x14ac:dyDescent="0.25">
      <c r="A44" s="297"/>
      <c r="B44" s="298"/>
      <c r="C44" s="298"/>
      <c r="D44" s="298"/>
      <c r="E44" s="298"/>
      <c r="F44" s="298"/>
      <c r="G44" s="298"/>
      <c r="H44" s="298"/>
      <c r="I44" s="298"/>
      <c r="J44" s="298"/>
      <c r="K44" s="298"/>
      <c r="L44" s="299"/>
    </row>
    <row r="45" spans="1:12" s="100" customFormat="1" x14ac:dyDescent="0.25">
      <c r="A45" s="297"/>
      <c r="B45" s="298"/>
      <c r="C45" s="298"/>
      <c r="D45" s="298"/>
      <c r="E45" s="298"/>
      <c r="F45" s="298"/>
      <c r="G45" s="298"/>
      <c r="H45" s="298"/>
      <c r="I45" s="298"/>
      <c r="J45" s="298"/>
      <c r="K45" s="298"/>
      <c r="L45" s="299"/>
    </row>
    <row r="46" spans="1:12" s="100" customFormat="1" x14ac:dyDescent="0.25">
      <c r="A46" s="297"/>
      <c r="B46" s="298"/>
      <c r="C46" s="298"/>
      <c r="D46" s="298"/>
      <c r="E46" s="298"/>
      <c r="F46" s="298"/>
      <c r="G46" s="298"/>
      <c r="H46" s="298"/>
      <c r="I46" s="298"/>
      <c r="J46" s="298"/>
      <c r="K46" s="298"/>
      <c r="L46" s="299"/>
    </row>
    <row r="47" spans="1:12" x14ac:dyDescent="0.25">
      <c r="A47" s="300" t="s">
        <v>53</v>
      </c>
      <c r="B47" s="302" t="s">
        <v>415</v>
      </c>
      <c r="C47" s="445" t="s">
        <v>416</v>
      </c>
      <c r="D47" s="445"/>
      <c r="E47" s="445"/>
      <c r="F47" s="445"/>
      <c r="G47" s="445"/>
      <c r="H47" s="445"/>
      <c r="I47" s="445"/>
      <c r="J47" s="445"/>
      <c r="K47" s="445"/>
      <c r="L47" s="446"/>
    </row>
    <row r="48" spans="1:12" x14ac:dyDescent="0.25">
      <c r="A48" s="297"/>
      <c r="B48" s="298"/>
      <c r="C48" s="298" t="s">
        <v>408</v>
      </c>
      <c r="D48" s="298" t="s">
        <v>251</v>
      </c>
      <c r="E48" s="298" t="s">
        <v>252</v>
      </c>
      <c r="F48" s="298"/>
      <c r="G48" s="298"/>
      <c r="H48" s="298"/>
      <c r="I48" s="298" t="s">
        <v>254</v>
      </c>
      <c r="J48" s="298"/>
      <c r="K48" s="298"/>
      <c r="L48" s="299"/>
    </row>
    <row r="49" spans="1:12" x14ac:dyDescent="0.25">
      <c r="A49" s="297"/>
      <c r="B49" s="298"/>
      <c r="C49" s="298">
        <v>3.7</v>
      </c>
      <c r="D49" s="298">
        <v>0.5</v>
      </c>
      <c r="E49" s="298">
        <v>0.5</v>
      </c>
      <c r="F49" s="298"/>
      <c r="G49" s="298"/>
      <c r="H49" s="298"/>
      <c r="I49" s="298">
        <f>ROUND(C49*D49*E49,2)</f>
        <v>0.93</v>
      </c>
      <c r="J49" s="298"/>
      <c r="K49" s="298"/>
      <c r="L49" s="299"/>
    </row>
    <row r="50" spans="1:12" x14ac:dyDescent="0.25">
      <c r="A50" s="297"/>
      <c r="B50" s="298"/>
      <c r="C50" s="298">
        <v>3.7</v>
      </c>
      <c r="D50" s="298">
        <v>0.5</v>
      </c>
      <c r="E50" s="298">
        <v>0.5</v>
      </c>
      <c r="F50" s="298"/>
      <c r="G50" s="298"/>
      <c r="H50" s="298"/>
      <c r="I50" s="298">
        <f t="shared" ref="I50:I52" si="1">ROUND(C50*D50*E50,2)</f>
        <v>0.93</v>
      </c>
      <c r="J50" s="298"/>
      <c r="K50" s="298"/>
      <c r="L50" s="299"/>
    </row>
    <row r="51" spans="1:12" x14ac:dyDescent="0.25">
      <c r="A51" s="297"/>
      <c r="B51" s="298"/>
      <c r="C51" s="298">
        <v>6.4</v>
      </c>
      <c r="D51" s="298">
        <v>0.5</v>
      </c>
      <c r="E51" s="298">
        <v>0.5</v>
      </c>
      <c r="F51" s="298"/>
      <c r="G51" s="298"/>
      <c r="H51" s="298"/>
      <c r="I51" s="298">
        <f t="shared" si="1"/>
        <v>1.6</v>
      </c>
      <c r="J51" s="298"/>
      <c r="K51" s="298"/>
      <c r="L51" s="299"/>
    </row>
    <row r="52" spans="1:12" x14ac:dyDescent="0.25">
      <c r="A52" s="297"/>
      <c r="B52" s="298"/>
      <c r="C52" s="298">
        <v>6.4</v>
      </c>
      <c r="D52" s="298">
        <v>0.5</v>
      </c>
      <c r="E52" s="298">
        <v>0.5</v>
      </c>
      <c r="F52" s="298"/>
      <c r="G52" s="298"/>
      <c r="H52" s="298"/>
      <c r="I52" s="298">
        <f t="shared" si="1"/>
        <v>1.6</v>
      </c>
      <c r="J52" s="298"/>
      <c r="K52" s="298"/>
      <c r="L52" s="299"/>
    </row>
    <row r="53" spans="1:12" x14ac:dyDescent="0.25">
      <c r="A53" s="297"/>
      <c r="B53" s="301" t="s">
        <v>409</v>
      </c>
      <c r="C53" s="301"/>
      <c r="D53" s="301"/>
      <c r="E53" s="301"/>
      <c r="F53" s="301"/>
      <c r="G53" s="301"/>
      <c r="H53" s="301"/>
      <c r="I53" s="301">
        <f>SUM(I49:I52,2)</f>
        <v>7.0600000000000005</v>
      </c>
      <c r="J53" s="298"/>
      <c r="K53" s="298"/>
      <c r="L53" s="299"/>
    </row>
    <row r="54" spans="1:12" x14ac:dyDescent="0.25">
      <c r="A54" s="297"/>
      <c r="B54" s="298"/>
      <c r="C54" s="298"/>
      <c r="D54" s="298"/>
      <c r="E54" s="298"/>
      <c r="F54" s="298"/>
      <c r="G54" s="298"/>
      <c r="H54" s="298"/>
      <c r="I54" s="298"/>
      <c r="J54" s="298"/>
      <c r="K54" s="298"/>
      <c r="L54" s="299"/>
    </row>
    <row r="55" spans="1:12" x14ac:dyDescent="0.25">
      <c r="A55" s="300" t="s">
        <v>91</v>
      </c>
      <c r="B55" s="302" t="s">
        <v>417</v>
      </c>
      <c r="C55" s="449" t="s">
        <v>418</v>
      </c>
      <c r="D55" s="449"/>
      <c r="E55" s="449"/>
      <c r="F55" s="449"/>
      <c r="G55" s="449"/>
      <c r="H55" s="449"/>
      <c r="I55" s="449"/>
      <c r="J55" s="449"/>
      <c r="K55" s="449"/>
      <c r="L55" s="450"/>
    </row>
    <row r="56" spans="1:12" x14ac:dyDescent="0.25">
      <c r="A56" s="297"/>
      <c r="B56" s="298"/>
      <c r="C56" s="298" t="s">
        <v>408</v>
      </c>
      <c r="D56" s="298"/>
      <c r="E56" s="298"/>
      <c r="F56" s="298"/>
      <c r="G56" s="298"/>
      <c r="H56" s="298"/>
      <c r="I56" s="298" t="s">
        <v>419</v>
      </c>
      <c r="J56" s="298"/>
      <c r="K56" s="298"/>
      <c r="L56" s="299"/>
    </row>
    <row r="57" spans="1:12" x14ac:dyDescent="0.25">
      <c r="A57" s="297"/>
      <c r="B57" s="298"/>
      <c r="C57" s="298">
        <v>3.7</v>
      </c>
      <c r="D57" s="298"/>
      <c r="E57" s="298"/>
      <c r="F57" s="298"/>
      <c r="G57" s="298"/>
      <c r="H57" s="298"/>
      <c r="I57" s="298">
        <f>C57</f>
        <v>3.7</v>
      </c>
      <c r="J57" s="298"/>
      <c r="K57" s="298"/>
      <c r="L57" s="299"/>
    </row>
    <row r="58" spans="1:12" x14ac:dyDescent="0.25">
      <c r="A58" s="297"/>
      <c r="B58" s="298"/>
      <c r="C58" s="298">
        <v>3.7</v>
      </c>
      <c r="D58" s="298"/>
      <c r="E58" s="298"/>
      <c r="F58" s="298"/>
      <c r="G58" s="298"/>
      <c r="H58" s="298"/>
      <c r="I58" s="298">
        <f t="shared" ref="I58:I60" si="2">C58</f>
        <v>3.7</v>
      </c>
      <c r="J58" s="298"/>
      <c r="K58" s="298"/>
      <c r="L58" s="299"/>
    </row>
    <row r="59" spans="1:12" x14ac:dyDescent="0.25">
      <c r="A59" s="297"/>
      <c r="B59" s="298"/>
      <c r="C59" s="298">
        <v>6.4</v>
      </c>
      <c r="D59" s="298"/>
      <c r="E59" s="298"/>
      <c r="F59" s="298"/>
      <c r="G59" s="298"/>
      <c r="H59" s="298"/>
      <c r="I59" s="298">
        <f t="shared" si="2"/>
        <v>6.4</v>
      </c>
      <c r="J59" s="298"/>
      <c r="K59" s="298"/>
      <c r="L59" s="299"/>
    </row>
    <row r="60" spans="1:12" x14ac:dyDescent="0.25">
      <c r="A60" s="297"/>
      <c r="B60" s="298"/>
      <c r="C60" s="298">
        <v>6.4</v>
      </c>
      <c r="D60" s="298"/>
      <c r="E60" s="298"/>
      <c r="F60" s="298"/>
      <c r="G60" s="298"/>
      <c r="H60" s="298"/>
      <c r="I60" s="298">
        <f t="shared" si="2"/>
        <v>6.4</v>
      </c>
      <c r="J60" s="298"/>
      <c r="K60" s="298"/>
      <c r="L60" s="299"/>
    </row>
    <row r="61" spans="1:12" x14ac:dyDescent="0.25">
      <c r="A61" s="297"/>
      <c r="B61" s="301" t="s">
        <v>409</v>
      </c>
      <c r="C61" s="301"/>
      <c r="D61" s="301"/>
      <c r="E61" s="301"/>
      <c r="F61" s="301"/>
      <c r="G61" s="301"/>
      <c r="H61" s="301"/>
      <c r="I61" s="301">
        <f>SUM(I57:I60,2)</f>
        <v>22.200000000000003</v>
      </c>
      <c r="J61" s="298"/>
      <c r="K61" s="298"/>
      <c r="L61" s="299"/>
    </row>
    <row r="62" spans="1:12" x14ac:dyDescent="0.25">
      <c r="A62" s="297"/>
      <c r="B62" s="298"/>
      <c r="C62" s="298"/>
      <c r="D62" s="298"/>
      <c r="E62" s="298"/>
      <c r="F62" s="298"/>
      <c r="G62" s="298"/>
      <c r="H62" s="298"/>
      <c r="I62" s="298"/>
      <c r="J62" s="298"/>
      <c r="K62" s="298"/>
      <c r="L62" s="299"/>
    </row>
    <row r="63" spans="1:12" x14ac:dyDescent="0.25">
      <c r="A63" s="300" t="s">
        <v>492</v>
      </c>
      <c r="B63" s="301" t="s">
        <v>577</v>
      </c>
      <c r="C63" s="449" t="str">
        <f>Plan3!C3</f>
        <v>Alvenaria em tijolo cerâmico 1 vez, assentado em argamassa traço 1:2:8 (cimento, cal e areia)</v>
      </c>
      <c r="D63" s="449"/>
      <c r="E63" s="449"/>
      <c r="F63" s="449"/>
      <c r="G63" s="449"/>
      <c r="H63" s="449"/>
      <c r="I63" s="449"/>
      <c r="J63" s="449"/>
      <c r="K63" s="449"/>
      <c r="L63" s="299"/>
    </row>
    <row r="64" spans="1:12" x14ac:dyDescent="0.25">
      <c r="A64" s="297"/>
      <c r="B64" s="298"/>
      <c r="C64" s="298" t="s">
        <v>408</v>
      </c>
      <c r="D64" s="298" t="s">
        <v>257</v>
      </c>
      <c r="E64" s="298"/>
      <c r="F64" s="298"/>
      <c r="G64" s="298"/>
      <c r="H64" s="298"/>
      <c r="I64" s="298" t="s">
        <v>427</v>
      </c>
      <c r="J64" s="298"/>
      <c r="K64" s="298"/>
      <c r="L64" s="299"/>
    </row>
    <row r="65" spans="1:12" x14ac:dyDescent="0.25">
      <c r="A65" s="297"/>
      <c r="B65" s="298"/>
      <c r="C65" s="298">
        <v>3.7</v>
      </c>
      <c r="D65" s="298">
        <v>0.2</v>
      </c>
      <c r="E65" s="298"/>
      <c r="F65" s="298"/>
      <c r="G65" s="298"/>
      <c r="H65" s="298"/>
      <c r="I65" s="298">
        <f>C65*D65</f>
        <v>0.7400000000000001</v>
      </c>
      <c r="J65" s="298"/>
      <c r="K65" s="298"/>
      <c r="L65" s="299"/>
    </row>
    <row r="66" spans="1:12" x14ac:dyDescent="0.25">
      <c r="A66" s="297"/>
      <c r="B66" s="298"/>
      <c r="C66" s="298">
        <v>3.7</v>
      </c>
      <c r="D66" s="298">
        <v>0.2</v>
      </c>
      <c r="E66" s="298"/>
      <c r="F66" s="298"/>
      <c r="G66" s="298"/>
      <c r="H66" s="298"/>
      <c r="I66" s="298">
        <f t="shared" ref="I66:I69" si="3">C66*D66</f>
        <v>0.7400000000000001</v>
      </c>
      <c r="J66" s="298"/>
      <c r="K66" s="298"/>
      <c r="L66" s="299"/>
    </row>
    <row r="67" spans="1:12" x14ac:dyDescent="0.25">
      <c r="A67" s="297"/>
      <c r="B67" s="298"/>
      <c r="C67" s="298">
        <v>6.4</v>
      </c>
      <c r="D67" s="298">
        <v>0.2</v>
      </c>
      <c r="E67" s="298"/>
      <c r="F67" s="298"/>
      <c r="G67" s="298"/>
      <c r="H67" s="298"/>
      <c r="I67" s="298">
        <f t="shared" si="3"/>
        <v>1.2800000000000002</v>
      </c>
      <c r="J67" s="298"/>
      <c r="K67" s="298"/>
      <c r="L67" s="299"/>
    </row>
    <row r="68" spans="1:12" x14ac:dyDescent="0.25">
      <c r="A68" s="297"/>
      <c r="B68" s="298"/>
      <c r="C68" s="298">
        <v>6.4</v>
      </c>
      <c r="D68" s="298">
        <v>0.2</v>
      </c>
      <c r="E68" s="298"/>
      <c r="F68" s="298"/>
      <c r="G68" s="298"/>
      <c r="H68" s="298"/>
      <c r="I68" s="298">
        <f t="shared" si="3"/>
        <v>1.2800000000000002</v>
      </c>
      <c r="J68" s="298"/>
      <c r="K68" s="298"/>
      <c r="L68" s="299"/>
    </row>
    <row r="69" spans="1:12" s="100" customFormat="1" x14ac:dyDescent="0.25">
      <c r="A69" s="297"/>
      <c r="B69" s="298"/>
      <c r="C69" s="298">
        <f>8.4+5.2+5.2</f>
        <v>18.8</v>
      </c>
      <c r="D69" s="298">
        <v>0.7</v>
      </c>
      <c r="E69" s="298"/>
      <c r="F69" s="298"/>
      <c r="G69" s="298"/>
      <c r="H69" s="298"/>
      <c r="I69" s="298">
        <f t="shared" si="3"/>
        <v>13.16</v>
      </c>
      <c r="J69" s="298"/>
      <c r="K69" s="298"/>
      <c r="L69" s="299"/>
    </row>
    <row r="70" spans="1:12" s="100" customFormat="1" x14ac:dyDescent="0.25">
      <c r="A70" s="297"/>
      <c r="B70" s="298"/>
      <c r="C70" s="298"/>
      <c r="D70" s="298"/>
      <c r="E70" s="298"/>
      <c r="F70" s="298"/>
      <c r="G70" s="298"/>
      <c r="H70" s="298"/>
      <c r="I70" s="298"/>
      <c r="J70" s="298"/>
      <c r="K70" s="298"/>
      <c r="L70" s="299"/>
    </row>
    <row r="71" spans="1:12" x14ac:dyDescent="0.25">
      <c r="A71" s="297"/>
      <c r="B71" s="301" t="s">
        <v>409</v>
      </c>
      <c r="C71" s="301"/>
      <c r="D71" s="301"/>
      <c r="E71" s="301"/>
      <c r="F71" s="301"/>
      <c r="G71" s="301"/>
      <c r="H71" s="301"/>
      <c r="I71" s="301">
        <f>SUM(I65:I69,2)</f>
        <v>19.200000000000003</v>
      </c>
      <c r="J71" s="298"/>
      <c r="K71" s="298"/>
      <c r="L71" s="299"/>
    </row>
    <row r="72" spans="1:12" ht="15.75" thickBot="1" x14ac:dyDescent="0.3">
      <c r="A72" s="305"/>
      <c r="B72" s="307"/>
      <c r="C72" s="307"/>
      <c r="D72" s="307"/>
      <c r="E72" s="307"/>
      <c r="F72" s="307"/>
      <c r="G72" s="307"/>
      <c r="H72" s="307"/>
      <c r="I72" s="307"/>
      <c r="J72" s="307"/>
      <c r="K72" s="307"/>
      <c r="L72" s="308"/>
    </row>
    <row r="73" spans="1:12" ht="15.75" thickBot="1" x14ac:dyDescent="0.3">
      <c r="A73" s="311" t="s">
        <v>19</v>
      </c>
      <c r="B73" s="313" t="s">
        <v>429</v>
      </c>
      <c r="C73" s="313"/>
      <c r="D73" s="313"/>
      <c r="E73" s="313"/>
      <c r="F73" s="313"/>
      <c r="G73" s="313"/>
      <c r="H73" s="313"/>
      <c r="I73" s="313"/>
      <c r="J73" s="313"/>
      <c r="K73" s="313"/>
      <c r="L73" s="314"/>
    </row>
    <row r="74" spans="1:12" ht="44.25" customHeight="1" x14ac:dyDescent="0.25">
      <c r="A74" s="300" t="s">
        <v>380</v>
      </c>
      <c r="B74" s="301" t="s">
        <v>430</v>
      </c>
      <c r="C74" s="441" t="s">
        <v>431</v>
      </c>
      <c r="D74" s="441"/>
      <c r="E74" s="441"/>
      <c r="F74" s="441"/>
      <c r="G74" s="441"/>
      <c r="H74" s="441"/>
      <c r="I74" s="441"/>
      <c r="J74" s="441"/>
      <c r="K74" s="441"/>
      <c r="L74" s="442"/>
    </row>
    <row r="75" spans="1:12" x14ac:dyDescent="0.25">
      <c r="A75" s="297"/>
      <c r="B75" s="298"/>
      <c r="C75" s="298" t="s">
        <v>403</v>
      </c>
      <c r="D75" s="298" t="s">
        <v>252</v>
      </c>
      <c r="E75" s="298"/>
      <c r="F75" s="298"/>
      <c r="G75" s="298"/>
      <c r="H75" s="298"/>
      <c r="I75" s="298"/>
      <c r="J75" s="298"/>
      <c r="K75" s="298"/>
      <c r="L75" s="299"/>
    </row>
    <row r="76" spans="1:12" x14ac:dyDescent="0.25">
      <c r="A76" s="297"/>
      <c r="B76" s="298"/>
      <c r="C76" s="298">
        <v>3.7</v>
      </c>
      <c r="D76" s="298">
        <v>3</v>
      </c>
      <c r="E76" s="298"/>
      <c r="F76" s="298"/>
      <c r="G76" s="298"/>
      <c r="H76" s="298"/>
      <c r="I76" s="298" t="s">
        <v>427</v>
      </c>
      <c r="J76" s="298"/>
      <c r="K76" s="298"/>
      <c r="L76" s="299"/>
    </row>
    <row r="77" spans="1:12" x14ac:dyDescent="0.25">
      <c r="A77" s="297"/>
      <c r="B77" s="298"/>
      <c r="C77" s="298">
        <v>3.7</v>
      </c>
      <c r="D77" s="298">
        <v>3</v>
      </c>
      <c r="E77" s="298"/>
      <c r="F77" s="298"/>
      <c r="G77" s="298"/>
      <c r="H77" s="298"/>
      <c r="I77" s="298">
        <f>C77*D77</f>
        <v>11.100000000000001</v>
      </c>
      <c r="J77" s="298"/>
      <c r="K77" s="298"/>
      <c r="L77" s="299"/>
    </row>
    <row r="78" spans="1:12" x14ac:dyDescent="0.25">
      <c r="A78" s="297"/>
      <c r="B78" s="298"/>
      <c r="C78" s="298">
        <v>6.4</v>
      </c>
      <c r="D78" s="298">
        <v>3</v>
      </c>
      <c r="E78" s="298"/>
      <c r="F78" s="298"/>
      <c r="G78" s="298"/>
      <c r="H78" s="298"/>
      <c r="I78" s="298">
        <f t="shared" ref="I78:I80" si="4">C78*D78</f>
        <v>19.200000000000003</v>
      </c>
      <c r="J78" s="298"/>
      <c r="K78" s="298"/>
      <c r="L78" s="299"/>
    </row>
    <row r="79" spans="1:12" x14ac:dyDescent="0.25">
      <c r="A79" s="297"/>
      <c r="B79" s="298"/>
      <c r="C79" s="298">
        <v>6.4</v>
      </c>
      <c r="D79" s="298">
        <v>3</v>
      </c>
      <c r="E79" s="298"/>
      <c r="F79" s="298"/>
      <c r="G79" s="298"/>
      <c r="H79" s="298"/>
      <c r="I79" s="298">
        <f t="shared" si="4"/>
        <v>19.200000000000003</v>
      </c>
      <c r="J79" s="298"/>
      <c r="K79" s="298"/>
      <c r="L79" s="299"/>
    </row>
    <row r="80" spans="1:12" x14ac:dyDescent="0.25">
      <c r="A80" s="297"/>
      <c r="B80" s="298"/>
      <c r="C80" s="298"/>
      <c r="D80" s="298"/>
      <c r="E80" s="298"/>
      <c r="F80" s="298"/>
      <c r="G80" s="298"/>
      <c r="H80" s="298"/>
      <c r="I80" s="298">
        <f t="shared" si="4"/>
        <v>0</v>
      </c>
      <c r="J80" s="298"/>
      <c r="K80" s="298"/>
      <c r="L80" s="299"/>
    </row>
    <row r="81" spans="1:12" x14ac:dyDescent="0.25">
      <c r="A81" s="297"/>
      <c r="B81" s="301" t="s">
        <v>409</v>
      </c>
      <c r="C81" s="298"/>
      <c r="D81" s="298"/>
      <c r="E81" s="298"/>
      <c r="F81" s="298"/>
      <c r="G81" s="298"/>
      <c r="H81" s="298"/>
      <c r="I81" s="301">
        <f>SUM(I77:I80,2)</f>
        <v>51.500000000000007</v>
      </c>
      <c r="J81" s="298"/>
      <c r="K81" s="298"/>
      <c r="L81" s="299"/>
    </row>
    <row r="82" spans="1:12" ht="15.75" thickBot="1" x14ac:dyDescent="0.3">
      <c r="A82" s="305"/>
      <c r="B82" s="307"/>
      <c r="C82" s="307"/>
      <c r="D82" s="307"/>
      <c r="E82" s="307"/>
      <c r="F82" s="307"/>
      <c r="G82" s="307"/>
      <c r="H82" s="307"/>
      <c r="I82" s="307"/>
      <c r="J82" s="307"/>
      <c r="K82" s="307"/>
      <c r="L82" s="308"/>
    </row>
    <row r="83" spans="1:12" ht="15.75" thickBot="1" x14ac:dyDescent="0.3">
      <c r="A83" s="311" t="s">
        <v>57</v>
      </c>
      <c r="B83" s="313" t="s">
        <v>432</v>
      </c>
      <c r="C83" s="313"/>
      <c r="D83" s="313"/>
      <c r="E83" s="313"/>
      <c r="F83" s="313"/>
      <c r="G83" s="313"/>
      <c r="H83" s="313"/>
      <c r="I83" s="313"/>
      <c r="J83" s="313"/>
      <c r="K83" s="313"/>
      <c r="L83" s="314"/>
    </row>
    <row r="84" spans="1:12" ht="30" customHeight="1" x14ac:dyDescent="0.25">
      <c r="A84" s="300" t="s">
        <v>58</v>
      </c>
      <c r="B84" s="302" t="s">
        <v>447</v>
      </c>
      <c r="C84" s="441" t="str">
        <f>'PLANILHA DEPÓSITO'!C22</f>
        <v>CONCRETO FCK = 20MPA, TRAÇO 1:2,7:3 (CIMENTO/ AREIA MÉDIA/ BRITA 1) - PREPARO MECÂNICO COM BETONEIRA 400 L. AF_07/2016</v>
      </c>
      <c r="D84" s="441"/>
      <c r="E84" s="441"/>
      <c r="F84" s="441"/>
      <c r="G84" s="441"/>
      <c r="H84" s="441"/>
      <c r="I84" s="441"/>
      <c r="J84" s="441"/>
      <c r="K84" s="441"/>
      <c r="L84" s="442"/>
    </row>
    <row r="85" spans="1:12" x14ac:dyDescent="0.25">
      <c r="A85" s="297"/>
      <c r="B85" s="298"/>
      <c r="C85" s="298" t="s">
        <v>403</v>
      </c>
      <c r="D85" s="298" t="s">
        <v>404</v>
      </c>
      <c r="E85" s="298" t="s">
        <v>252</v>
      </c>
      <c r="F85" s="298"/>
      <c r="G85" s="298"/>
      <c r="H85" s="298"/>
      <c r="I85" s="298"/>
      <c r="J85" s="298"/>
      <c r="K85" s="298"/>
      <c r="L85" s="299"/>
    </row>
    <row r="86" spans="1:12" x14ac:dyDescent="0.25">
      <c r="A86" s="297"/>
      <c r="B86" s="298" t="s">
        <v>433</v>
      </c>
      <c r="C86" s="298">
        <v>0.3</v>
      </c>
      <c r="D86" s="298">
        <v>0.2</v>
      </c>
      <c r="E86" s="298">
        <v>3.8</v>
      </c>
      <c r="F86" s="298"/>
      <c r="G86" s="298"/>
      <c r="H86" s="298"/>
      <c r="I86" s="298">
        <f>ROUND(C86*D86*E86,2)</f>
        <v>0.23</v>
      </c>
      <c r="J86" s="298"/>
      <c r="K86" s="298"/>
      <c r="L86" s="299"/>
    </row>
    <row r="87" spans="1:12" x14ac:dyDescent="0.25">
      <c r="A87" s="297"/>
      <c r="B87" s="298" t="s">
        <v>434</v>
      </c>
      <c r="C87" s="298">
        <v>0.3</v>
      </c>
      <c r="D87" s="298">
        <v>0.2</v>
      </c>
      <c r="E87" s="298">
        <v>3.8</v>
      </c>
      <c r="F87" s="298"/>
      <c r="G87" s="298"/>
      <c r="H87" s="298"/>
      <c r="I87" s="298">
        <f t="shared" ref="I87:I91" si="5">ROUND(C87*D87*E87,2)</f>
        <v>0.23</v>
      </c>
      <c r="J87" s="298"/>
      <c r="K87" s="298"/>
      <c r="L87" s="299"/>
    </row>
    <row r="88" spans="1:12" x14ac:dyDescent="0.25">
      <c r="A88" s="297"/>
      <c r="B88" s="298" t="s">
        <v>435</v>
      </c>
      <c r="C88" s="298">
        <v>0.3</v>
      </c>
      <c r="D88" s="298">
        <v>0.2</v>
      </c>
      <c r="E88" s="298">
        <v>3.8</v>
      </c>
      <c r="F88" s="298"/>
      <c r="G88" s="298"/>
      <c r="H88" s="298"/>
      <c r="I88" s="298">
        <f t="shared" si="5"/>
        <v>0.23</v>
      </c>
      <c r="J88" s="298"/>
      <c r="K88" s="298"/>
      <c r="L88" s="299"/>
    </row>
    <row r="89" spans="1:12" x14ac:dyDescent="0.25">
      <c r="A89" s="297"/>
      <c r="B89" s="298" t="s">
        <v>436</v>
      </c>
      <c r="C89" s="298">
        <v>0.3</v>
      </c>
      <c r="D89" s="298">
        <v>0.2</v>
      </c>
      <c r="E89" s="298">
        <v>3.8</v>
      </c>
      <c r="F89" s="298"/>
      <c r="G89" s="298"/>
      <c r="H89" s="298"/>
      <c r="I89" s="298">
        <f t="shared" si="5"/>
        <v>0.23</v>
      </c>
      <c r="J89" s="298"/>
      <c r="K89" s="298"/>
      <c r="L89" s="299"/>
    </row>
    <row r="90" spans="1:12" x14ac:dyDescent="0.25">
      <c r="A90" s="297"/>
      <c r="B90" s="298" t="s">
        <v>437</v>
      </c>
      <c r="C90" s="298">
        <v>0.3</v>
      </c>
      <c r="D90" s="298">
        <v>0.2</v>
      </c>
      <c r="E90" s="298">
        <v>3.8</v>
      </c>
      <c r="F90" s="298"/>
      <c r="G90" s="298"/>
      <c r="H90" s="298"/>
      <c r="I90" s="298">
        <f t="shared" si="5"/>
        <v>0.23</v>
      </c>
      <c r="J90" s="298"/>
      <c r="K90" s="298"/>
      <c r="L90" s="299"/>
    </row>
    <row r="91" spans="1:12" x14ac:dyDescent="0.25">
      <c r="A91" s="297"/>
      <c r="B91" s="298" t="s">
        <v>438</v>
      </c>
      <c r="C91" s="298">
        <v>0.3</v>
      </c>
      <c r="D91" s="298">
        <v>0.2</v>
      </c>
      <c r="E91" s="298">
        <v>3.8</v>
      </c>
      <c r="F91" s="298"/>
      <c r="G91" s="298"/>
      <c r="H91" s="298"/>
      <c r="I91" s="298">
        <f t="shared" si="5"/>
        <v>0.23</v>
      </c>
      <c r="J91" s="298"/>
      <c r="K91" s="298"/>
      <c r="L91" s="299"/>
    </row>
    <row r="92" spans="1:12" x14ac:dyDescent="0.25">
      <c r="A92" s="297"/>
      <c r="B92" s="298"/>
      <c r="C92" s="298"/>
      <c r="D92" s="298"/>
      <c r="E92" s="298"/>
      <c r="F92" s="298"/>
      <c r="G92" s="298"/>
      <c r="H92" s="298"/>
      <c r="I92" s="301">
        <f>ROUND(SUM(I86:I91),2)</f>
        <v>1.38</v>
      </c>
      <c r="J92" s="298"/>
      <c r="K92" s="298"/>
      <c r="L92" s="299"/>
    </row>
    <row r="93" spans="1:12" x14ac:dyDescent="0.25">
      <c r="A93" s="297"/>
      <c r="B93" s="298"/>
      <c r="C93" s="298"/>
      <c r="D93" s="298"/>
      <c r="E93" s="298"/>
      <c r="F93" s="298"/>
      <c r="G93" s="298"/>
      <c r="H93" s="298"/>
      <c r="I93" s="298"/>
      <c r="J93" s="298"/>
      <c r="K93" s="298"/>
      <c r="L93" s="299"/>
    </row>
    <row r="94" spans="1:12" x14ac:dyDescent="0.25">
      <c r="A94" s="297"/>
      <c r="B94" s="298" t="s">
        <v>439</v>
      </c>
      <c r="C94" s="298">
        <v>3.7</v>
      </c>
      <c r="D94" s="298">
        <v>0.2</v>
      </c>
      <c r="E94" s="298">
        <v>0.3</v>
      </c>
      <c r="F94" s="298"/>
      <c r="G94" s="298"/>
      <c r="H94" s="298"/>
      <c r="I94" s="298">
        <f t="shared" ref="I94:I97" si="6">ROUND(C94*D94*E94,2)</f>
        <v>0.22</v>
      </c>
      <c r="J94" s="298"/>
      <c r="K94" s="298"/>
      <c r="L94" s="299"/>
    </row>
    <row r="95" spans="1:12" x14ac:dyDescent="0.25">
      <c r="A95" s="297"/>
      <c r="B95" s="298" t="s">
        <v>440</v>
      </c>
      <c r="C95" s="298">
        <v>3.7</v>
      </c>
      <c r="D95" s="298">
        <v>0.2</v>
      </c>
      <c r="E95" s="298">
        <v>0.3</v>
      </c>
      <c r="F95" s="298"/>
      <c r="G95" s="298"/>
      <c r="H95" s="298"/>
      <c r="I95" s="298">
        <f t="shared" si="6"/>
        <v>0.22</v>
      </c>
      <c r="J95" s="298"/>
      <c r="K95" s="298"/>
      <c r="L95" s="299"/>
    </row>
    <row r="96" spans="1:12" x14ac:dyDescent="0.25">
      <c r="A96" s="297"/>
      <c r="B96" s="298" t="s">
        <v>441</v>
      </c>
      <c r="C96" s="298">
        <v>6.4</v>
      </c>
      <c r="D96" s="298">
        <v>0.2</v>
      </c>
      <c r="E96" s="298">
        <v>0.3</v>
      </c>
      <c r="F96" s="298"/>
      <c r="G96" s="298"/>
      <c r="H96" s="298"/>
      <c r="I96" s="298">
        <f t="shared" si="6"/>
        <v>0.38</v>
      </c>
      <c r="J96" s="298"/>
      <c r="K96" s="298"/>
      <c r="L96" s="299"/>
    </row>
    <row r="97" spans="1:12" x14ac:dyDescent="0.25">
      <c r="A97" s="297"/>
      <c r="B97" s="298" t="s">
        <v>442</v>
      </c>
      <c r="C97" s="298">
        <v>6.4</v>
      </c>
      <c r="D97" s="298">
        <v>0.2</v>
      </c>
      <c r="E97" s="298">
        <v>0.3</v>
      </c>
      <c r="F97" s="298"/>
      <c r="G97" s="298"/>
      <c r="H97" s="298"/>
      <c r="I97" s="298">
        <f t="shared" si="6"/>
        <v>0.38</v>
      </c>
      <c r="J97" s="298"/>
      <c r="K97" s="298"/>
      <c r="L97" s="299"/>
    </row>
    <row r="98" spans="1:12" x14ac:dyDescent="0.25">
      <c r="A98" s="297"/>
      <c r="B98" s="298"/>
      <c r="C98" s="298"/>
      <c r="D98" s="298"/>
      <c r="E98" s="298"/>
      <c r="F98" s="298"/>
      <c r="G98" s="298"/>
      <c r="H98" s="298"/>
      <c r="I98" s="301">
        <f>ROUND(SUM(I94:I97),2)</f>
        <v>1.2</v>
      </c>
      <c r="J98" s="298"/>
      <c r="K98" s="298"/>
      <c r="L98" s="299"/>
    </row>
    <row r="99" spans="1:12" s="100" customFormat="1" x14ac:dyDescent="0.25">
      <c r="A99" s="297"/>
      <c r="B99" s="298"/>
      <c r="C99" s="298"/>
      <c r="D99" s="298"/>
      <c r="E99" s="298"/>
      <c r="F99" s="298"/>
      <c r="G99" s="298"/>
      <c r="H99" s="298"/>
      <c r="I99" s="301"/>
      <c r="J99" s="298"/>
      <c r="K99" s="298"/>
      <c r="L99" s="299"/>
    </row>
    <row r="100" spans="1:12" s="100" customFormat="1" x14ac:dyDescent="0.25">
      <c r="A100" s="297"/>
      <c r="B100" s="298" t="s">
        <v>445</v>
      </c>
      <c r="C100" s="298">
        <v>0.6</v>
      </c>
      <c r="D100" s="298">
        <v>0.6</v>
      </c>
      <c r="E100" s="298">
        <v>0.2</v>
      </c>
      <c r="F100" s="298">
        <v>6</v>
      </c>
      <c r="G100" s="298"/>
      <c r="H100" s="298"/>
      <c r="I100" s="301">
        <f>ROUND(C100*D100*E100*F100,2)</f>
        <v>0.43</v>
      </c>
      <c r="J100" s="298"/>
      <c r="K100" s="298"/>
      <c r="L100" s="299"/>
    </row>
    <row r="101" spans="1:12" s="100" customFormat="1" x14ac:dyDescent="0.25">
      <c r="A101" s="297"/>
      <c r="B101" s="298"/>
      <c r="C101" s="298"/>
      <c r="D101" s="298"/>
      <c r="E101" s="298"/>
      <c r="F101" s="298"/>
      <c r="G101" s="298"/>
      <c r="H101" s="298"/>
      <c r="I101" s="301"/>
      <c r="J101" s="298"/>
      <c r="K101" s="298"/>
      <c r="L101" s="299"/>
    </row>
    <row r="102" spans="1:12" s="100" customFormat="1" x14ac:dyDescent="0.25">
      <c r="A102" s="297"/>
      <c r="B102" s="301" t="s">
        <v>409</v>
      </c>
      <c r="C102" s="301"/>
      <c r="D102" s="301"/>
      <c r="E102" s="301"/>
      <c r="F102" s="301"/>
      <c r="G102" s="301"/>
      <c r="H102" s="301"/>
      <c r="I102" s="301">
        <f>ROUND(SUM(I92+I98+I100),2)</f>
        <v>3.01</v>
      </c>
      <c r="J102" s="298"/>
      <c r="K102" s="298"/>
      <c r="L102" s="299"/>
    </row>
    <row r="103" spans="1:12" s="100" customFormat="1" x14ac:dyDescent="0.25">
      <c r="A103" s="297"/>
      <c r="B103" s="298"/>
      <c r="C103" s="298"/>
      <c r="D103" s="298"/>
      <c r="E103" s="298"/>
      <c r="F103" s="298"/>
      <c r="G103" s="298"/>
      <c r="H103" s="298"/>
      <c r="I103" s="301"/>
      <c r="J103" s="298"/>
      <c r="K103" s="298"/>
      <c r="L103" s="299"/>
    </row>
    <row r="104" spans="1:12" ht="30.75" customHeight="1" x14ac:dyDescent="0.25">
      <c r="A104" s="300" t="s">
        <v>59</v>
      </c>
      <c r="B104" s="302" t="s">
        <v>449</v>
      </c>
      <c r="C104" s="441" t="str">
        <f>'PLANILHA DEPÓSITO'!C23</f>
        <v>Forma plana para estruturas, em compensado plastificado de 10mm, 07 usos, inclusive escoramento - Revisada 07.2015</v>
      </c>
      <c r="D104" s="441"/>
      <c r="E104" s="441"/>
      <c r="F104" s="441"/>
      <c r="G104" s="441"/>
      <c r="H104" s="441"/>
      <c r="I104" s="441"/>
      <c r="J104" s="441"/>
      <c r="K104" s="441"/>
      <c r="L104" s="442"/>
    </row>
    <row r="105" spans="1:12" x14ac:dyDescent="0.25">
      <c r="A105" s="297"/>
      <c r="B105" s="298"/>
      <c r="C105" s="298"/>
      <c r="D105" s="298"/>
      <c r="E105" s="298"/>
      <c r="F105" s="298"/>
      <c r="G105" s="298"/>
      <c r="H105" s="298"/>
      <c r="I105" s="298"/>
      <c r="J105" s="298"/>
      <c r="K105" s="298"/>
      <c r="L105" s="299"/>
    </row>
    <row r="106" spans="1:12" x14ac:dyDescent="0.25">
      <c r="A106" s="297"/>
      <c r="B106" s="298" t="s">
        <v>433</v>
      </c>
      <c r="C106" s="298">
        <v>0.6</v>
      </c>
      <c r="D106" s="298">
        <v>0.4</v>
      </c>
      <c r="E106" s="298">
        <v>3.8</v>
      </c>
      <c r="F106" s="298"/>
      <c r="G106" s="298"/>
      <c r="H106" s="298"/>
      <c r="I106" s="298">
        <f>ROUND((C106+D106)*E106,2)</f>
        <v>3.8</v>
      </c>
      <c r="J106" s="298"/>
      <c r="K106" s="298"/>
      <c r="L106" s="299"/>
    </row>
    <row r="107" spans="1:12" x14ac:dyDescent="0.25">
      <c r="A107" s="297"/>
      <c r="B107" s="298" t="s">
        <v>434</v>
      </c>
      <c r="C107" s="298">
        <v>0.6</v>
      </c>
      <c r="D107" s="298">
        <v>0.4</v>
      </c>
      <c r="E107" s="298">
        <v>3.8</v>
      </c>
      <c r="F107" s="298"/>
      <c r="G107" s="298"/>
      <c r="H107" s="298"/>
      <c r="I107" s="298">
        <f t="shared" ref="I107:I111" si="7">ROUND((C107+D107)*E107,2)</f>
        <v>3.8</v>
      </c>
      <c r="J107" s="298"/>
      <c r="K107" s="298"/>
      <c r="L107" s="299"/>
    </row>
    <row r="108" spans="1:12" x14ac:dyDescent="0.25">
      <c r="A108" s="297"/>
      <c r="B108" s="298" t="s">
        <v>435</v>
      </c>
      <c r="C108" s="298">
        <v>0.6</v>
      </c>
      <c r="D108" s="298">
        <v>0.4</v>
      </c>
      <c r="E108" s="298">
        <v>3.8</v>
      </c>
      <c r="F108" s="298"/>
      <c r="G108" s="298"/>
      <c r="H108" s="298"/>
      <c r="I108" s="298">
        <f t="shared" si="7"/>
        <v>3.8</v>
      </c>
      <c r="J108" s="298"/>
      <c r="K108" s="298"/>
      <c r="L108" s="299"/>
    </row>
    <row r="109" spans="1:12" x14ac:dyDescent="0.25">
      <c r="A109" s="297"/>
      <c r="B109" s="298" t="s">
        <v>436</v>
      </c>
      <c r="C109" s="298">
        <v>0.6</v>
      </c>
      <c r="D109" s="298">
        <v>0.4</v>
      </c>
      <c r="E109" s="298">
        <v>3.8</v>
      </c>
      <c r="F109" s="298"/>
      <c r="G109" s="298"/>
      <c r="H109" s="298"/>
      <c r="I109" s="298">
        <f t="shared" si="7"/>
        <v>3.8</v>
      </c>
      <c r="J109" s="298"/>
      <c r="K109" s="298"/>
      <c r="L109" s="299"/>
    </row>
    <row r="110" spans="1:12" x14ac:dyDescent="0.25">
      <c r="A110" s="297"/>
      <c r="B110" s="298" t="s">
        <v>437</v>
      </c>
      <c r="C110" s="298">
        <v>0.6</v>
      </c>
      <c r="D110" s="298">
        <v>0.4</v>
      </c>
      <c r="E110" s="298">
        <v>3.8</v>
      </c>
      <c r="F110" s="298"/>
      <c r="G110" s="298"/>
      <c r="H110" s="298"/>
      <c r="I110" s="298">
        <f t="shared" si="7"/>
        <v>3.8</v>
      </c>
      <c r="J110" s="298"/>
      <c r="K110" s="298"/>
      <c r="L110" s="299"/>
    </row>
    <row r="111" spans="1:12" x14ac:dyDescent="0.25">
      <c r="A111" s="297"/>
      <c r="B111" s="298" t="s">
        <v>438</v>
      </c>
      <c r="C111" s="298">
        <v>0.6</v>
      </c>
      <c r="D111" s="298">
        <v>0.4</v>
      </c>
      <c r="E111" s="298">
        <v>3.8</v>
      </c>
      <c r="F111" s="298"/>
      <c r="G111" s="298"/>
      <c r="H111" s="298"/>
      <c r="I111" s="298">
        <f t="shared" si="7"/>
        <v>3.8</v>
      </c>
      <c r="J111" s="298"/>
      <c r="K111" s="298"/>
      <c r="L111" s="299"/>
    </row>
    <row r="112" spans="1:12" x14ac:dyDescent="0.25">
      <c r="A112" s="297"/>
      <c r="B112" s="298"/>
      <c r="C112" s="298"/>
      <c r="D112" s="298"/>
      <c r="E112" s="298"/>
      <c r="F112" s="298"/>
      <c r="G112" s="298"/>
      <c r="H112" s="298"/>
      <c r="I112" s="301">
        <f>ROUND(SUM(I106:I111),2)</f>
        <v>22.8</v>
      </c>
      <c r="J112" s="298"/>
      <c r="K112" s="298"/>
      <c r="L112" s="299"/>
    </row>
    <row r="113" spans="1:15" x14ac:dyDescent="0.25">
      <c r="A113" s="297"/>
      <c r="B113" s="298"/>
      <c r="C113" s="298"/>
      <c r="D113" s="298"/>
      <c r="E113" s="298"/>
      <c r="F113" s="298"/>
      <c r="G113" s="298"/>
      <c r="H113" s="298"/>
      <c r="I113" s="298"/>
      <c r="J113" s="298"/>
      <c r="K113" s="298"/>
      <c r="L113" s="299"/>
    </row>
    <row r="114" spans="1:15" x14ac:dyDescent="0.25">
      <c r="A114" s="297"/>
      <c r="B114" s="298" t="s">
        <v>439</v>
      </c>
      <c r="C114" s="298">
        <v>3.7</v>
      </c>
      <c r="D114" s="298">
        <v>0.45</v>
      </c>
      <c r="E114" s="298">
        <v>0.2</v>
      </c>
      <c r="F114" s="298"/>
      <c r="G114" s="298"/>
      <c r="H114" s="298"/>
      <c r="I114" s="298">
        <f>ROUND(C114*(D114+E114),2)</f>
        <v>2.41</v>
      </c>
      <c r="J114" s="298"/>
      <c r="K114" s="298"/>
      <c r="L114" s="299"/>
    </row>
    <row r="115" spans="1:15" x14ac:dyDescent="0.25">
      <c r="A115" s="297"/>
      <c r="B115" s="298" t="s">
        <v>440</v>
      </c>
      <c r="C115" s="298">
        <v>3.7</v>
      </c>
      <c r="D115" s="298">
        <v>0.45</v>
      </c>
      <c r="E115" s="298">
        <v>0.2</v>
      </c>
      <c r="F115" s="298"/>
      <c r="G115" s="298"/>
      <c r="H115" s="298"/>
      <c r="I115" s="298">
        <f t="shared" ref="I115:I117" si="8">ROUND(C115*(D115+E115),2)</f>
        <v>2.41</v>
      </c>
      <c r="J115" s="298"/>
      <c r="K115" s="298"/>
      <c r="L115" s="299"/>
    </row>
    <row r="116" spans="1:15" x14ac:dyDescent="0.25">
      <c r="A116" s="297"/>
      <c r="B116" s="298" t="s">
        <v>441</v>
      </c>
      <c r="C116" s="298">
        <v>6.4</v>
      </c>
      <c r="D116" s="298">
        <v>0.45</v>
      </c>
      <c r="E116" s="298">
        <v>0.2</v>
      </c>
      <c r="F116" s="298"/>
      <c r="G116" s="298"/>
      <c r="H116" s="298"/>
      <c r="I116" s="298">
        <f t="shared" si="8"/>
        <v>4.16</v>
      </c>
      <c r="J116" s="298"/>
      <c r="K116" s="298"/>
      <c r="L116" s="299"/>
    </row>
    <row r="117" spans="1:15" x14ac:dyDescent="0.25">
      <c r="A117" s="297"/>
      <c r="B117" s="298" t="s">
        <v>442</v>
      </c>
      <c r="C117" s="298">
        <v>6.4</v>
      </c>
      <c r="D117" s="298">
        <v>0.45</v>
      </c>
      <c r="E117" s="298">
        <v>0.2</v>
      </c>
      <c r="F117" s="298"/>
      <c r="G117" s="298"/>
      <c r="H117" s="298"/>
      <c r="I117" s="298">
        <f t="shared" si="8"/>
        <v>4.16</v>
      </c>
      <c r="J117" s="298"/>
      <c r="K117" s="298"/>
      <c r="L117" s="299"/>
    </row>
    <row r="118" spans="1:15" x14ac:dyDescent="0.25">
      <c r="A118" s="297"/>
      <c r="B118" s="298"/>
      <c r="C118" s="298"/>
      <c r="D118" s="298"/>
      <c r="E118" s="298"/>
      <c r="F118" s="298"/>
      <c r="G118" s="298"/>
      <c r="H118" s="298"/>
      <c r="I118" s="301">
        <f>ROUND(SUM(I114:I117),2)</f>
        <v>13.14</v>
      </c>
      <c r="J118" s="298"/>
      <c r="K118" s="298"/>
      <c r="L118" s="299"/>
    </row>
    <row r="119" spans="1:15" s="100" customFormat="1" x14ac:dyDescent="0.25">
      <c r="A119" s="297"/>
      <c r="B119" s="298"/>
      <c r="C119" s="298"/>
      <c r="D119" s="298"/>
      <c r="E119" s="298"/>
      <c r="F119" s="298"/>
      <c r="G119" s="298"/>
      <c r="H119" s="298"/>
      <c r="I119" s="301"/>
      <c r="J119" s="298"/>
      <c r="K119" s="298"/>
      <c r="L119" s="299"/>
    </row>
    <row r="120" spans="1:15" s="100" customFormat="1" x14ac:dyDescent="0.25">
      <c r="A120" s="297"/>
      <c r="B120" s="298" t="s">
        <v>446</v>
      </c>
      <c r="C120" s="298">
        <v>2.4</v>
      </c>
      <c r="D120" s="298">
        <v>0.2</v>
      </c>
      <c r="E120" s="298"/>
      <c r="F120" s="298"/>
      <c r="G120" s="298"/>
      <c r="H120" s="298"/>
      <c r="I120" s="301">
        <f>ROUND(C120*D120,2)</f>
        <v>0.48</v>
      </c>
      <c r="J120" s="298"/>
      <c r="K120" s="298"/>
      <c r="L120" s="299"/>
    </row>
    <row r="121" spans="1:15" s="100" customFormat="1" x14ac:dyDescent="0.25">
      <c r="A121" s="297"/>
      <c r="B121" s="298"/>
      <c r="C121" s="298"/>
      <c r="D121" s="298"/>
      <c r="E121" s="298"/>
      <c r="F121" s="298"/>
      <c r="G121" s="298"/>
      <c r="H121" s="298"/>
      <c r="I121" s="301"/>
      <c r="J121" s="298"/>
      <c r="K121" s="298"/>
      <c r="L121" s="299"/>
    </row>
    <row r="122" spans="1:15" s="100" customFormat="1" x14ac:dyDescent="0.25">
      <c r="A122" s="297"/>
      <c r="B122" s="301" t="s">
        <v>409</v>
      </c>
      <c r="C122" s="301"/>
      <c r="D122" s="301"/>
      <c r="E122" s="301"/>
      <c r="F122" s="301"/>
      <c r="G122" s="301"/>
      <c r="H122" s="301"/>
      <c r="I122" s="301">
        <f>ROUND(SUM(I112+I118+I120),2)</f>
        <v>36.42</v>
      </c>
      <c r="J122" s="298"/>
      <c r="K122" s="298"/>
      <c r="L122" s="299"/>
    </row>
    <row r="123" spans="1:15" x14ac:dyDescent="0.25">
      <c r="A123" s="297"/>
      <c r="B123" s="298"/>
      <c r="C123" s="298"/>
      <c r="D123" s="298"/>
      <c r="E123" s="298"/>
      <c r="F123" s="298"/>
      <c r="G123" s="298"/>
      <c r="H123" s="298"/>
      <c r="I123" s="298"/>
      <c r="J123" s="298"/>
      <c r="K123" s="298"/>
      <c r="L123" s="299"/>
    </row>
    <row r="124" spans="1:15" ht="30" customHeight="1" x14ac:dyDescent="0.25">
      <c r="A124" s="300" t="s">
        <v>282</v>
      </c>
      <c r="B124" s="301" t="str">
        <f>'PLANILHA DEPÓSITO'!B24</f>
        <v>00140/ORSE</v>
      </c>
      <c r="C124" s="441" t="str">
        <f>'PLANILHA DEPÓSITO'!C24</f>
        <v>Aço CA - 50 Ø 6,3 a 12,5mm, inclusive corte, dobragem, montagem e colocacao de ferragens nas formas, para superestruturas e fundações</v>
      </c>
      <c r="D124" s="441"/>
      <c r="E124" s="441"/>
      <c r="F124" s="441"/>
      <c r="G124" s="441"/>
      <c r="H124" s="441"/>
      <c r="I124" s="441"/>
      <c r="J124" s="441"/>
      <c r="K124" s="441"/>
      <c r="L124" s="442"/>
      <c r="M124">
        <v>4.3</v>
      </c>
      <c r="N124">
        <v>0.15</v>
      </c>
      <c r="O124">
        <f>M124/N124</f>
        <v>28.666666666666668</v>
      </c>
    </row>
    <row r="125" spans="1:15" x14ac:dyDescent="0.25">
      <c r="A125" s="297"/>
      <c r="B125" s="298"/>
      <c r="C125" s="298"/>
      <c r="D125" s="298" t="s">
        <v>268</v>
      </c>
      <c r="E125" s="298" t="s">
        <v>403</v>
      </c>
      <c r="F125" s="298" t="s">
        <v>11</v>
      </c>
      <c r="G125" s="298" t="s">
        <v>443</v>
      </c>
      <c r="H125" s="298"/>
      <c r="I125" s="298" t="s">
        <v>444</v>
      </c>
      <c r="J125" s="298"/>
      <c r="K125" s="298"/>
      <c r="L125" s="299"/>
    </row>
    <row r="126" spans="1:15" x14ac:dyDescent="0.25">
      <c r="A126" s="297"/>
      <c r="B126" s="298" t="s">
        <v>433</v>
      </c>
      <c r="C126" s="298" t="s">
        <v>575</v>
      </c>
      <c r="D126" s="298">
        <v>4</v>
      </c>
      <c r="E126" s="298">
        <v>4.3</v>
      </c>
      <c r="F126" s="298">
        <f t="shared" ref="F126:F137" si="9">D126*E126</f>
        <v>17.2</v>
      </c>
      <c r="G126" s="298">
        <v>0.61699999999999999</v>
      </c>
      <c r="H126" s="298"/>
      <c r="I126" s="298">
        <f t="shared" ref="I126:I137" si="10">ROUND(F126*G126,2)</f>
        <v>10.61</v>
      </c>
      <c r="J126" s="298"/>
      <c r="K126" s="298"/>
      <c r="L126" s="299"/>
    </row>
    <row r="127" spans="1:15" s="100" customFormat="1" x14ac:dyDescent="0.25">
      <c r="A127" s="297"/>
      <c r="B127" s="298"/>
      <c r="C127" s="298" t="s">
        <v>576</v>
      </c>
      <c r="D127" s="298">
        <v>29</v>
      </c>
      <c r="E127" s="298">
        <v>1.1000000000000001</v>
      </c>
      <c r="F127" s="298">
        <f t="shared" si="9"/>
        <v>31.900000000000002</v>
      </c>
      <c r="G127" s="298">
        <v>0.154</v>
      </c>
      <c r="H127" s="298"/>
      <c r="I127" s="298">
        <f t="shared" si="10"/>
        <v>4.91</v>
      </c>
      <c r="J127" s="298"/>
      <c r="K127" s="298"/>
      <c r="L127" s="299"/>
    </row>
    <row r="128" spans="1:15" x14ac:dyDescent="0.25">
      <c r="A128" s="297"/>
      <c r="B128" s="298" t="s">
        <v>434</v>
      </c>
      <c r="C128" s="298" t="s">
        <v>575</v>
      </c>
      <c r="D128" s="298">
        <v>4</v>
      </c>
      <c r="E128" s="298">
        <v>4.3</v>
      </c>
      <c r="F128" s="298">
        <f t="shared" si="9"/>
        <v>17.2</v>
      </c>
      <c r="G128" s="298">
        <v>0.61699999999999999</v>
      </c>
      <c r="H128" s="298"/>
      <c r="I128" s="298">
        <f t="shared" si="10"/>
        <v>10.61</v>
      </c>
      <c r="J128" s="298"/>
      <c r="K128" s="298"/>
      <c r="L128" s="299"/>
    </row>
    <row r="129" spans="1:12" s="100" customFormat="1" x14ac:dyDescent="0.25">
      <c r="A129" s="297"/>
      <c r="B129" s="298"/>
      <c r="C129" s="298" t="s">
        <v>576</v>
      </c>
      <c r="D129" s="298">
        <v>29</v>
      </c>
      <c r="E129" s="298">
        <v>1.1000000000000001</v>
      </c>
      <c r="F129" s="298">
        <f t="shared" si="9"/>
        <v>31.900000000000002</v>
      </c>
      <c r="G129" s="298">
        <v>0.154</v>
      </c>
      <c r="H129" s="298"/>
      <c r="I129" s="298">
        <f t="shared" si="10"/>
        <v>4.91</v>
      </c>
      <c r="J129" s="298"/>
      <c r="K129" s="298"/>
      <c r="L129" s="299"/>
    </row>
    <row r="130" spans="1:12" x14ac:dyDescent="0.25">
      <c r="A130" s="297"/>
      <c r="B130" s="298" t="s">
        <v>435</v>
      </c>
      <c r="C130" s="298" t="s">
        <v>575</v>
      </c>
      <c r="D130" s="298">
        <v>4</v>
      </c>
      <c r="E130" s="298">
        <v>4.3</v>
      </c>
      <c r="F130" s="298">
        <f t="shared" si="9"/>
        <v>17.2</v>
      </c>
      <c r="G130" s="298">
        <v>0.61699999999999999</v>
      </c>
      <c r="H130" s="298"/>
      <c r="I130" s="298">
        <f t="shared" si="10"/>
        <v>10.61</v>
      </c>
      <c r="J130" s="298"/>
      <c r="K130" s="298"/>
      <c r="L130" s="299"/>
    </row>
    <row r="131" spans="1:12" s="100" customFormat="1" x14ac:dyDescent="0.25">
      <c r="A131" s="297"/>
      <c r="B131" s="298"/>
      <c r="C131" s="298" t="s">
        <v>576</v>
      </c>
      <c r="D131" s="298">
        <v>29</v>
      </c>
      <c r="E131" s="298">
        <v>1.1000000000000001</v>
      </c>
      <c r="F131" s="298">
        <f t="shared" si="9"/>
        <v>31.900000000000002</v>
      </c>
      <c r="G131" s="298">
        <v>0.154</v>
      </c>
      <c r="H131" s="298"/>
      <c r="I131" s="298">
        <f t="shared" si="10"/>
        <v>4.91</v>
      </c>
      <c r="J131" s="298"/>
      <c r="K131" s="298"/>
      <c r="L131" s="299"/>
    </row>
    <row r="132" spans="1:12" x14ac:dyDescent="0.25">
      <c r="A132" s="297"/>
      <c r="B132" s="298" t="s">
        <v>436</v>
      </c>
      <c r="C132" s="298" t="s">
        <v>575</v>
      </c>
      <c r="D132" s="298">
        <v>4</v>
      </c>
      <c r="E132" s="298">
        <v>4.3</v>
      </c>
      <c r="F132" s="298">
        <f t="shared" si="9"/>
        <v>17.2</v>
      </c>
      <c r="G132" s="298">
        <v>0.61699999999999999</v>
      </c>
      <c r="H132" s="298"/>
      <c r="I132" s="298">
        <f t="shared" si="10"/>
        <v>10.61</v>
      </c>
      <c r="J132" s="298"/>
      <c r="K132" s="298"/>
      <c r="L132" s="299"/>
    </row>
    <row r="133" spans="1:12" s="100" customFormat="1" x14ac:dyDescent="0.25">
      <c r="A133" s="297"/>
      <c r="B133" s="298"/>
      <c r="C133" s="298" t="s">
        <v>576</v>
      </c>
      <c r="D133" s="298">
        <v>29</v>
      </c>
      <c r="E133" s="298">
        <v>1.1000000000000001</v>
      </c>
      <c r="F133" s="298">
        <f t="shared" si="9"/>
        <v>31.900000000000002</v>
      </c>
      <c r="G133" s="298">
        <v>0.154</v>
      </c>
      <c r="H133" s="298"/>
      <c r="I133" s="298">
        <f t="shared" si="10"/>
        <v>4.91</v>
      </c>
      <c r="J133" s="298"/>
      <c r="K133" s="298"/>
      <c r="L133" s="299"/>
    </row>
    <row r="134" spans="1:12" x14ac:dyDescent="0.25">
      <c r="A134" s="297"/>
      <c r="B134" s="298" t="s">
        <v>437</v>
      </c>
      <c r="C134" s="298" t="s">
        <v>575</v>
      </c>
      <c r="D134" s="298">
        <v>4</v>
      </c>
      <c r="E134" s="298">
        <v>4.3</v>
      </c>
      <c r="F134" s="298">
        <f t="shared" si="9"/>
        <v>17.2</v>
      </c>
      <c r="G134" s="298">
        <v>0.61699999999999999</v>
      </c>
      <c r="H134" s="298"/>
      <c r="I134" s="298">
        <f t="shared" si="10"/>
        <v>10.61</v>
      </c>
      <c r="J134" s="298"/>
      <c r="K134" s="298"/>
      <c r="L134" s="299"/>
    </row>
    <row r="135" spans="1:12" s="100" customFormat="1" x14ac:dyDescent="0.25">
      <c r="A135" s="297"/>
      <c r="B135" s="298"/>
      <c r="C135" s="298" t="s">
        <v>576</v>
      </c>
      <c r="D135" s="298">
        <v>29</v>
      </c>
      <c r="E135" s="298">
        <v>1.1000000000000001</v>
      </c>
      <c r="F135" s="298">
        <f t="shared" si="9"/>
        <v>31.900000000000002</v>
      </c>
      <c r="G135" s="298">
        <v>0.154</v>
      </c>
      <c r="H135" s="298"/>
      <c r="I135" s="298">
        <f t="shared" si="10"/>
        <v>4.91</v>
      </c>
      <c r="J135" s="298"/>
      <c r="K135" s="298"/>
      <c r="L135" s="299"/>
    </row>
    <row r="136" spans="1:12" x14ac:dyDescent="0.25">
      <c r="A136" s="297"/>
      <c r="B136" s="298" t="s">
        <v>438</v>
      </c>
      <c r="C136" s="298" t="s">
        <v>575</v>
      </c>
      <c r="D136" s="298">
        <v>4</v>
      </c>
      <c r="E136" s="298">
        <v>4.3</v>
      </c>
      <c r="F136" s="298">
        <f t="shared" si="9"/>
        <v>17.2</v>
      </c>
      <c r="G136" s="298">
        <v>0.61699999999999999</v>
      </c>
      <c r="H136" s="298"/>
      <c r="I136" s="298">
        <f t="shared" si="10"/>
        <v>10.61</v>
      </c>
      <c r="J136" s="298"/>
      <c r="K136" s="298"/>
      <c r="L136" s="299"/>
    </row>
    <row r="137" spans="1:12" x14ac:dyDescent="0.25">
      <c r="A137" s="297"/>
      <c r="B137" s="298"/>
      <c r="C137" s="298" t="s">
        <v>576</v>
      </c>
      <c r="D137" s="298">
        <v>29</v>
      </c>
      <c r="E137" s="298">
        <v>1.1000000000000001</v>
      </c>
      <c r="F137" s="298">
        <f t="shared" si="9"/>
        <v>31.900000000000002</v>
      </c>
      <c r="G137" s="298">
        <v>0.154</v>
      </c>
      <c r="H137" s="298"/>
      <c r="I137" s="298">
        <f t="shared" si="10"/>
        <v>4.91</v>
      </c>
      <c r="J137" s="298"/>
      <c r="K137" s="298"/>
      <c r="L137" s="299"/>
    </row>
    <row r="138" spans="1:12" x14ac:dyDescent="0.25">
      <c r="A138" s="297"/>
      <c r="B138" s="298"/>
      <c r="C138" s="298"/>
      <c r="D138" s="298"/>
      <c r="E138" s="298"/>
      <c r="F138" s="298"/>
      <c r="G138" s="298"/>
      <c r="H138" s="298"/>
      <c r="I138" s="301">
        <f>ROUND(SUM(I126:I137),2)</f>
        <v>93.12</v>
      </c>
      <c r="J138" s="298"/>
      <c r="K138" s="298"/>
      <c r="L138" s="299"/>
    </row>
    <row r="139" spans="1:12" s="100" customFormat="1" x14ac:dyDescent="0.25">
      <c r="A139" s="297"/>
      <c r="B139" s="298"/>
      <c r="C139" s="298"/>
      <c r="D139" s="298"/>
      <c r="E139" s="298"/>
      <c r="F139" s="298"/>
      <c r="G139" s="298"/>
      <c r="H139" s="298"/>
      <c r="I139" s="298"/>
      <c r="J139" s="298"/>
      <c r="K139" s="298"/>
      <c r="L139" s="299"/>
    </row>
    <row r="140" spans="1:12" x14ac:dyDescent="0.25">
      <c r="A140" s="297"/>
      <c r="B140" s="298" t="s">
        <v>439</v>
      </c>
      <c r="C140" s="298" t="s">
        <v>575</v>
      </c>
      <c r="D140" s="298">
        <v>4</v>
      </c>
      <c r="E140" s="298">
        <v>3.7</v>
      </c>
      <c r="F140" s="298">
        <f t="shared" ref="F140:F147" si="11">D140*E140</f>
        <v>14.8</v>
      </c>
      <c r="G140" s="298">
        <v>0.61699999999999999</v>
      </c>
      <c r="H140" s="298"/>
      <c r="I140" s="298">
        <f t="shared" ref="I140:I150" si="12">ROUND(F140*G140,2)</f>
        <v>9.1300000000000008</v>
      </c>
      <c r="J140" s="298"/>
      <c r="K140" s="298"/>
      <c r="L140" s="299"/>
    </row>
    <row r="141" spans="1:12" s="100" customFormat="1" x14ac:dyDescent="0.25">
      <c r="A141" s="297"/>
      <c r="B141" s="298"/>
      <c r="C141" s="298" t="s">
        <v>576</v>
      </c>
      <c r="D141" s="298">
        <v>25</v>
      </c>
      <c r="E141" s="298">
        <v>1.1000000000000001</v>
      </c>
      <c r="F141" s="298">
        <f t="shared" si="11"/>
        <v>27.500000000000004</v>
      </c>
      <c r="G141" s="298">
        <v>0.154</v>
      </c>
      <c r="H141" s="298"/>
      <c r="I141" s="298">
        <f t="shared" si="12"/>
        <v>4.24</v>
      </c>
      <c r="J141" s="298"/>
      <c r="K141" s="298"/>
      <c r="L141" s="299"/>
    </row>
    <row r="142" spans="1:12" x14ac:dyDescent="0.25">
      <c r="A142" s="297"/>
      <c r="B142" s="298" t="s">
        <v>440</v>
      </c>
      <c r="C142" s="298" t="s">
        <v>575</v>
      </c>
      <c r="D142" s="298">
        <v>4</v>
      </c>
      <c r="E142" s="298">
        <v>3.7</v>
      </c>
      <c r="F142" s="298">
        <f t="shared" si="11"/>
        <v>14.8</v>
      </c>
      <c r="G142" s="298">
        <v>0.61699999999999999</v>
      </c>
      <c r="H142" s="298"/>
      <c r="I142" s="298">
        <f t="shared" si="12"/>
        <v>9.1300000000000008</v>
      </c>
      <c r="J142" s="298"/>
      <c r="K142" s="298"/>
      <c r="L142" s="299"/>
    </row>
    <row r="143" spans="1:12" s="100" customFormat="1" x14ac:dyDescent="0.25">
      <c r="A143" s="297"/>
      <c r="B143" s="298"/>
      <c r="C143" s="298" t="s">
        <v>576</v>
      </c>
      <c r="D143" s="298">
        <v>25</v>
      </c>
      <c r="E143" s="298">
        <v>1.1000000000000001</v>
      </c>
      <c r="F143" s="298">
        <f t="shared" si="11"/>
        <v>27.500000000000004</v>
      </c>
      <c r="G143" s="298">
        <v>0.154</v>
      </c>
      <c r="H143" s="298"/>
      <c r="I143" s="298">
        <f t="shared" si="12"/>
        <v>4.24</v>
      </c>
      <c r="J143" s="298"/>
      <c r="K143" s="298"/>
      <c r="L143" s="299"/>
    </row>
    <row r="144" spans="1:12" x14ac:dyDescent="0.25">
      <c r="A144" s="297"/>
      <c r="B144" s="298" t="s">
        <v>441</v>
      </c>
      <c r="C144" s="298" t="s">
        <v>575</v>
      </c>
      <c r="D144" s="298">
        <v>4</v>
      </c>
      <c r="E144" s="298">
        <v>3.7</v>
      </c>
      <c r="F144" s="298">
        <f t="shared" si="11"/>
        <v>14.8</v>
      </c>
      <c r="G144" s="298">
        <v>0.61699999999999999</v>
      </c>
      <c r="H144" s="298"/>
      <c r="I144" s="298">
        <f t="shared" si="12"/>
        <v>9.1300000000000008</v>
      </c>
      <c r="J144" s="298"/>
      <c r="K144" s="298"/>
      <c r="L144" s="299"/>
    </row>
    <row r="145" spans="1:12" s="100" customFormat="1" x14ac:dyDescent="0.25">
      <c r="A145" s="297"/>
      <c r="B145" s="298"/>
      <c r="C145" s="298" t="s">
        <v>576</v>
      </c>
      <c r="D145" s="298">
        <v>25</v>
      </c>
      <c r="E145" s="298">
        <v>1.1000000000000001</v>
      </c>
      <c r="F145" s="298">
        <f t="shared" si="11"/>
        <v>27.500000000000004</v>
      </c>
      <c r="G145" s="298">
        <v>0.154</v>
      </c>
      <c r="H145" s="298"/>
      <c r="I145" s="298">
        <f t="shared" si="12"/>
        <v>4.24</v>
      </c>
      <c r="J145" s="298"/>
      <c r="K145" s="298"/>
      <c r="L145" s="299"/>
    </row>
    <row r="146" spans="1:12" x14ac:dyDescent="0.25">
      <c r="A146" s="297"/>
      <c r="B146" s="298" t="s">
        <v>442</v>
      </c>
      <c r="C146" s="298" t="s">
        <v>575</v>
      </c>
      <c r="D146" s="298">
        <v>4</v>
      </c>
      <c r="E146" s="298">
        <v>3.7</v>
      </c>
      <c r="F146" s="298">
        <f t="shared" si="11"/>
        <v>14.8</v>
      </c>
      <c r="G146" s="298">
        <v>0.61699999999999999</v>
      </c>
      <c r="H146" s="298"/>
      <c r="I146" s="298">
        <f t="shared" si="12"/>
        <v>9.1300000000000008</v>
      </c>
      <c r="J146" s="298"/>
      <c r="K146" s="298"/>
      <c r="L146" s="299"/>
    </row>
    <row r="147" spans="1:12" x14ac:dyDescent="0.25">
      <c r="A147" s="297"/>
      <c r="B147" s="298"/>
      <c r="C147" s="298" t="s">
        <v>576</v>
      </c>
      <c r="D147" s="298">
        <v>25</v>
      </c>
      <c r="E147" s="298">
        <v>1.1000000000000001</v>
      </c>
      <c r="F147" s="298">
        <f t="shared" si="11"/>
        <v>27.500000000000004</v>
      </c>
      <c r="G147" s="298">
        <v>0.154</v>
      </c>
      <c r="H147" s="298"/>
      <c r="I147" s="298">
        <f t="shared" si="12"/>
        <v>4.24</v>
      </c>
      <c r="J147" s="298"/>
      <c r="K147" s="298"/>
      <c r="L147" s="299"/>
    </row>
    <row r="148" spans="1:12" x14ac:dyDescent="0.25">
      <c r="A148" s="297"/>
      <c r="B148" s="298"/>
      <c r="C148" s="298"/>
      <c r="D148" s="298"/>
      <c r="E148" s="298"/>
      <c r="F148" s="298"/>
      <c r="G148" s="298"/>
      <c r="H148" s="298"/>
      <c r="I148" s="301">
        <f>ROUND(SUM(I140:I147),2)</f>
        <v>53.48</v>
      </c>
      <c r="J148" s="298"/>
      <c r="K148" s="298"/>
      <c r="L148" s="299"/>
    </row>
    <row r="149" spans="1:12" s="100" customFormat="1" x14ac:dyDescent="0.25">
      <c r="A149" s="297"/>
      <c r="B149" s="298"/>
      <c r="C149" s="298"/>
      <c r="D149" s="298"/>
      <c r="E149" s="298"/>
      <c r="F149" s="298"/>
      <c r="G149" s="298"/>
      <c r="H149" s="298"/>
      <c r="I149" s="298"/>
      <c r="J149" s="298"/>
      <c r="K149" s="298"/>
      <c r="L149" s="299"/>
    </row>
    <row r="150" spans="1:12" x14ac:dyDescent="0.25">
      <c r="A150" s="297"/>
      <c r="B150" s="298" t="s">
        <v>445</v>
      </c>
      <c r="C150" s="298" t="s">
        <v>575</v>
      </c>
      <c r="D150" s="298">
        <v>12</v>
      </c>
      <c r="E150" s="298">
        <v>0.6</v>
      </c>
      <c r="F150" s="298">
        <f>D150*E150</f>
        <v>7.1999999999999993</v>
      </c>
      <c r="G150" s="298">
        <v>0.61699999999999999</v>
      </c>
      <c r="H150" s="298"/>
      <c r="I150" s="301">
        <f t="shared" si="12"/>
        <v>4.4400000000000004</v>
      </c>
      <c r="J150" s="298"/>
      <c r="K150" s="298"/>
      <c r="L150" s="299"/>
    </row>
    <row r="151" spans="1:12" x14ac:dyDescent="0.25">
      <c r="A151" s="297"/>
      <c r="B151" s="298"/>
      <c r="C151" s="298"/>
      <c r="D151" s="298"/>
      <c r="E151" s="298"/>
      <c r="F151" s="298"/>
      <c r="G151" s="298"/>
      <c r="H151" s="298"/>
      <c r="I151" s="298"/>
      <c r="J151" s="298"/>
      <c r="K151" s="298"/>
      <c r="L151" s="299"/>
    </row>
    <row r="152" spans="1:12" x14ac:dyDescent="0.25">
      <c r="A152" s="297"/>
      <c r="B152" s="301" t="s">
        <v>409</v>
      </c>
      <c r="C152" s="301"/>
      <c r="D152" s="301"/>
      <c r="E152" s="301"/>
      <c r="F152" s="301"/>
      <c r="G152" s="301"/>
      <c r="H152" s="301"/>
      <c r="I152" s="301">
        <f>ROUND(I138+I148+I150,2)</f>
        <v>151.04</v>
      </c>
      <c r="J152" s="298"/>
      <c r="K152" s="298"/>
      <c r="L152" s="299"/>
    </row>
    <row r="153" spans="1:12" x14ac:dyDescent="0.25">
      <c r="A153" s="297"/>
      <c r="B153" s="298"/>
      <c r="C153" s="298"/>
      <c r="D153" s="298"/>
      <c r="E153" s="298"/>
      <c r="F153" s="298"/>
      <c r="G153" s="298"/>
      <c r="H153" s="298"/>
      <c r="I153" s="298"/>
      <c r="J153" s="298"/>
      <c r="K153" s="298"/>
      <c r="L153" s="299"/>
    </row>
    <row r="154" spans="1:12" ht="30" customHeight="1" x14ac:dyDescent="0.25">
      <c r="A154" s="300" t="s">
        <v>283</v>
      </c>
      <c r="B154" s="301" t="str">
        <f>'PLANILHA DEPÓSITO'!B25</f>
        <v>04254/ORSE</v>
      </c>
      <c r="C154" s="441" t="str">
        <f>'PLANILHA DEPÓSITO'!C25</f>
        <v>Laje pré-fabricada treliçada para piso ou cobertura, intereixo 38cm, h=12cm, el. enchimento em bloco cerâmico h=8cm, inclusive escoramento em madeira e capeamento 4cm.</v>
      </c>
      <c r="D154" s="441"/>
      <c r="E154" s="441"/>
      <c r="F154" s="441"/>
      <c r="G154" s="441"/>
      <c r="H154" s="441"/>
      <c r="I154" s="441"/>
      <c r="J154" s="441"/>
      <c r="K154" s="441"/>
      <c r="L154" s="442"/>
    </row>
    <row r="155" spans="1:12" x14ac:dyDescent="0.25">
      <c r="A155" s="297"/>
      <c r="B155" s="298"/>
      <c r="C155" s="298" t="s">
        <v>403</v>
      </c>
      <c r="D155" s="298" t="s">
        <v>251</v>
      </c>
      <c r="E155" s="298"/>
      <c r="F155" s="298"/>
      <c r="G155" s="298"/>
      <c r="H155" s="298"/>
      <c r="I155" s="298"/>
      <c r="J155" s="298"/>
      <c r="K155" s="298"/>
      <c r="L155" s="299"/>
    </row>
    <row r="156" spans="1:12" x14ac:dyDescent="0.25">
      <c r="A156" s="297"/>
      <c r="B156" s="298"/>
      <c r="C156" s="298">
        <v>6.4</v>
      </c>
      <c r="D156" s="298">
        <v>4</v>
      </c>
      <c r="E156" s="298"/>
      <c r="F156" s="298"/>
      <c r="G156" s="298"/>
      <c r="H156" s="298"/>
      <c r="I156" s="298">
        <f>ROUND(C156*D156,2)</f>
        <v>25.6</v>
      </c>
      <c r="J156" s="298"/>
      <c r="K156" s="298"/>
      <c r="L156" s="299"/>
    </row>
    <row r="157" spans="1:12" x14ac:dyDescent="0.25">
      <c r="A157" s="297"/>
      <c r="B157" s="298"/>
      <c r="C157" s="298"/>
      <c r="D157" s="298"/>
      <c r="E157" s="298"/>
      <c r="F157" s="298"/>
      <c r="G157" s="298"/>
      <c r="H157" s="298"/>
      <c r="I157" s="298"/>
      <c r="J157" s="298"/>
      <c r="K157" s="298"/>
      <c r="L157" s="299"/>
    </row>
    <row r="158" spans="1:12" x14ac:dyDescent="0.25">
      <c r="A158" s="297"/>
      <c r="B158" s="301" t="s">
        <v>409</v>
      </c>
      <c r="C158" s="301"/>
      <c r="D158" s="301"/>
      <c r="E158" s="301"/>
      <c r="F158" s="301"/>
      <c r="G158" s="301"/>
      <c r="H158" s="301"/>
      <c r="I158" s="301">
        <f>I156</f>
        <v>25.6</v>
      </c>
      <c r="J158" s="298"/>
      <c r="K158" s="298"/>
      <c r="L158" s="299"/>
    </row>
    <row r="159" spans="1:12" x14ac:dyDescent="0.25">
      <c r="A159" s="297"/>
      <c r="B159" s="298"/>
      <c r="C159" s="298"/>
      <c r="D159" s="298"/>
      <c r="E159" s="298"/>
      <c r="F159" s="298"/>
      <c r="G159" s="298"/>
      <c r="H159" s="298"/>
      <c r="I159" s="298"/>
      <c r="J159" s="298"/>
      <c r="K159" s="298"/>
      <c r="L159" s="299"/>
    </row>
    <row r="160" spans="1:12" s="100" customFormat="1" x14ac:dyDescent="0.25">
      <c r="A160" s="300" t="s">
        <v>384</v>
      </c>
      <c r="B160" s="301" t="str">
        <f>'PLANILHA DEPÓSITO'!B26</f>
        <v>93183/SINAPI</v>
      </c>
      <c r="C160" s="449" t="str">
        <f>'PLANILHA DEPÓSITO'!C26</f>
        <v>VERGA PRÉ-MOLDADA PARA JANELAS COM MAIS DE 1,5 M DE VÃO. AF_03/2016</v>
      </c>
      <c r="D160" s="449"/>
      <c r="E160" s="449"/>
      <c r="F160" s="449"/>
      <c r="G160" s="449"/>
      <c r="H160" s="449"/>
      <c r="I160" s="449"/>
      <c r="J160" s="449"/>
      <c r="K160" s="449"/>
      <c r="L160" s="450"/>
    </row>
    <row r="161" spans="1:12" s="100" customFormat="1" x14ac:dyDescent="0.25">
      <c r="A161" s="297"/>
      <c r="B161" s="298"/>
      <c r="C161" s="298" t="s">
        <v>403</v>
      </c>
      <c r="D161" s="298" t="s">
        <v>268</v>
      </c>
      <c r="E161" s="298"/>
      <c r="F161" s="298"/>
      <c r="G161" s="298"/>
      <c r="H161" s="298"/>
      <c r="I161" s="298"/>
      <c r="J161" s="298"/>
      <c r="K161" s="298"/>
      <c r="L161" s="299"/>
    </row>
    <row r="162" spans="1:12" s="100" customFormat="1" x14ac:dyDescent="0.25">
      <c r="A162" s="297"/>
      <c r="B162" s="298" t="s">
        <v>500</v>
      </c>
      <c r="C162" s="298">
        <v>2.4</v>
      </c>
      <c r="D162" s="298">
        <v>4</v>
      </c>
      <c r="E162" s="298"/>
      <c r="F162" s="298"/>
      <c r="G162" s="298"/>
      <c r="H162" s="298"/>
      <c r="I162" s="298">
        <f>ROUND(C162*D162,2)</f>
        <v>9.6</v>
      </c>
      <c r="J162" s="298"/>
      <c r="K162" s="298"/>
      <c r="L162" s="299"/>
    </row>
    <row r="163" spans="1:12" s="100" customFormat="1" x14ac:dyDescent="0.25">
      <c r="A163" s="297"/>
      <c r="B163" s="298"/>
      <c r="C163" s="298"/>
      <c r="D163" s="298"/>
      <c r="E163" s="298"/>
      <c r="F163" s="298"/>
      <c r="G163" s="298"/>
      <c r="H163" s="298"/>
      <c r="I163" s="298"/>
      <c r="J163" s="298"/>
      <c r="K163" s="298"/>
      <c r="L163" s="299"/>
    </row>
    <row r="164" spans="1:12" s="100" customFormat="1" x14ac:dyDescent="0.25">
      <c r="A164" s="297"/>
      <c r="B164" s="301" t="s">
        <v>409</v>
      </c>
      <c r="C164" s="301"/>
      <c r="D164" s="301"/>
      <c r="E164" s="301"/>
      <c r="F164" s="301"/>
      <c r="G164" s="301"/>
      <c r="H164" s="301"/>
      <c r="I164" s="301">
        <f>I162</f>
        <v>9.6</v>
      </c>
      <c r="J164" s="298"/>
      <c r="K164" s="298"/>
      <c r="L164" s="299"/>
    </row>
    <row r="165" spans="1:12" s="100" customFormat="1" x14ac:dyDescent="0.25">
      <c r="A165" s="297"/>
      <c r="B165" s="301"/>
      <c r="C165" s="301"/>
      <c r="D165" s="301"/>
      <c r="E165" s="301"/>
      <c r="F165" s="301"/>
      <c r="G165" s="301"/>
      <c r="H165" s="301"/>
      <c r="I165" s="301"/>
      <c r="J165" s="298"/>
      <c r="K165" s="298"/>
      <c r="L165" s="299"/>
    </row>
    <row r="166" spans="1:12" s="100" customFormat="1" x14ac:dyDescent="0.25">
      <c r="A166" s="300" t="s">
        <v>489</v>
      </c>
      <c r="B166" s="301" t="str">
        <f>'PLANILHA DEPÓSITO'!B27</f>
        <v>93184SINAPI</v>
      </c>
      <c r="C166" s="449" t="str">
        <f>'PLANILHA DEPÓSITO'!C27</f>
        <v>VERGA PRÉ-MOLDADA PARA PORTAS COM ATÉ 1,5 M DE VÃO. AF_03/2016</v>
      </c>
      <c r="D166" s="449"/>
      <c r="E166" s="449"/>
      <c r="F166" s="449"/>
      <c r="G166" s="449"/>
      <c r="H166" s="449"/>
      <c r="I166" s="449"/>
      <c r="J166" s="449"/>
      <c r="K166" s="449"/>
      <c r="L166" s="450"/>
    </row>
    <row r="167" spans="1:12" s="100" customFormat="1" x14ac:dyDescent="0.25">
      <c r="A167" s="297"/>
      <c r="B167" s="298"/>
      <c r="C167" s="298" t="s">
        <v>403</v>
      </c>
      <c r="D167" s="298" t="s">
        <v>268</v>
      </c>
      <c r="E167" s="298"/>
      <c r="F167" s="298"/>
      <c r="G167" s="298"/>
      <c r="H167" s="298"/>
      <c r="I167" s="298"/>
      <c r="J167" s="298"/>
      <c r="K167" s="298"/>
      <c r="L167" s="299"/>
    </row>
    <row r="168" spans="1:12" s="100" customFormat="1" x14ac:dyDescent="0.25">
      <c r="A168" s="297"/>
      <c r="B168" s="298" t="s">
        <v>479</v>
      </c>
      <c r="C168" s="298">
        <v>1.5</v>
      </c>
      <c r="D168" s="298">
        <v>1</v>
      </c>
      <c r="E168" s="298"/>
      <c r="F168" s="298"/>
      <c r="G168" s="298"/>
      <c r="H168" s="298"/>
      <c r="I168" s="298">
        <f>ROUND(C168*D168,2)</f>
        <v>1.5</v>
      </c>
      <c r="J168" s="298"/>
      <c r="K168" s="298"/>
      <c r="L168" s="299"/>
    </row>
    <row r="169" spans="1:12" s="100" customFormat="1" x14ac:dyDescent="0.25">
      <c r="A169" s="297"/>
      <c r="B169" s="301"/>
      <c r="C169" s="301"/>
      <c r="D169" s="301"/>
      <c r="E169" s="301"/>
      <c r="F169" s="301"/>
      <c r="G169" s="301"/>
      <c r="H169" s="301"/>
      <c r="I169" s="301"/>
      <c r="J169" s="298"/>
      <c r="K169" s="298"/>
      <c r="L169" s="299"/>
    </row>
    <row r="170" spans="1:12" s="100" customFormat="1" x14ac:dyDescent="0.25">
      <c r="A170" s="297"/>
      <c r="B170" s="301" t="s">
        <v>409</v>
      </c>
      <c r="C170" s="301"/>
      <c r="D170" s="301"/>
      <c r="E170" s="301"/>
      <c r="F170" s="301"/>
      <c r="G170" s="301"/>
      <c r="H170" s="301"/>
      <c r="I170" s="301">
        <f>I168</f>
        <v>1.5</v>
      </c>
      <c r="J170" s="298"/>
      <c r="K170" s="298"/>
      <c r="L170" s="299"/>
    </row>
    <row r="171" spans="1:12" s="100" customFormat="1" x14ac:dyDescent="0.25">
      <c r="A171" s="297"/>
      <c r="B171" s="298"/>
      <c r="C171" s="298"/>
      <c r="D171" s="298"/>
      <c r="E171" s="298"/>
      <c r="F171" s="298"/>
      <c r="G171" s="298"/>
      <c r="H171" s="298"/>
      <c r="I171" s="298"/>
      <c r="J171" s="298"/>
      <c r="K171" s="298"/>
      <c r="L171" s="299"/>
    </row>
    <row r="172" spans="1:12" ht="30.75" customHeight="1" x14ac:dyDescent="0.25">
      <c r="A172" s="300" t="s">
        <v>461</v>
      </c>
      <c r="B172" s="301" t="str">
        <f>'PLANILHA DEPÓSITO'!B28</f>
        <v>93200/SINAPI</v>
      </c>
      <c r="C172" s="441" t="str">
        <f>'PLANILHA DEPÓSITO'!C28</f>
        <v>FIXAÇÃO (ENCUNHAMENTO) DE ALVENARIA DE VEDAÇÃO COM ARGAMASSA APLICADA COM BISNAGA. AF_03/2016</v>
      </c>
      <c r="D172" s="441"/>
      <c r="E172" s="441"/>
      <c r="F172" s="441"/>
      <c r="G172" s="441"/>
      <c r="H172" s="441"/>
      <c r="I172" s="441"/>
      <c r="J172" s="441"/>
      <c r="K172" s="441"/>
      <c r="L172" s="442"/>
    </row>
    <row r="173" spans="1:12" x14ac:dyDescent="0.25">
      <c r="A173" s="297"/>
      <c r="B173" s="298"/>
      <c r="C173" s="298" t="s">
        <v>403</v>
      </c>
      <c r="D173" s="298"/>
      <c r="E173" s="298"/>
      <c r="F173" s="298"/>
      <c r="G173" s="298"/>
      <c r="H173" s="298"/>
      <c r="I173" s="298"/>
      <c r="J173" s="298"/>
      <c r="K173" s="298"/>
      <c r="L173" s="299"/>
    </row>
    <row r="174" spans="1:12" x14ac:dyDescent="0.25">
      <c r="A174" s="297"/>
      <c r="B174" s="298" t="s">
        <v>462</v>
      </c>
      <c r="C174" s="298">
        <v>3.7</v>
      </c>
      <c r="D174" s="298"/>
      <c r="E174" s="298"/>
      <c r="F174" s="298"/>
      <c r="G174" s="298"/>
      <c r="H174" s="298"/>
      <c r="I174" s="298">
        <f>C174</f>
        <v>3.7</v>
      </c>
      <c r="J174" s="298"/>
      <c r="K174" s="298"/>
      <c r="L174" s="299"/>
    </row>
    <row r="175" spans="1:12" x14ac:dyDescent="0.25">
      <c r="A175" s="297"/>
      <c r="B175" s="298" t="s">
        <v>463</v>
      </c>
      <c r="C175" s="298">
        <v>3.7</v>
      </c>
      <c r="D175" s="298"/>
      <c r="E175" s="298"/>
      <c r="F175" s="298"/>
      <c r="G175" s="298"/>
      <c r="H175" s="298"/>
      <c r="I175" s="298">
        <f t="shared" ref="I175:I177" si="13">C175</f>
        <v>3.7</v>
      </c>
      <c r="J175" s="298"/>
      <c r="K175" s="298"/>
      <c r="L175" s="299"/>
    </row>
    <row r="176" spans="1:12" x14ac:dyDescent="0.25">
      <c r="A176" s="297"/>
      <c r="B176" s="298" t="s">
        <v>464</v>
      </c>
      <c r="C176" s="298">
        <v>6.4</v>
      </c>
      <c r="D176" s="298"/>
      <c r="E176" s="298"/>
      <c r="F176" s="298"/>
      <c r="G176" s="298"/>
      <c r="H176" s="298"/>
      <c r="I176" s="298">
        <f t="shared" si="13"/>
        <v>6.4</v>
      </c>
      <c r="J176" s="298"/>
      <c r="K176" s="298"/>
      <c r="L176" s="299"/>
    </row>
    <row r="177" spans="1:12" x14ac:dyDescent="0.25">
      <c r="A177" s="297"/>
      <c r="B177" s="298" t="s">
        <v>465</v>
      </c>
      <c r="C177" s="298">
        <v>6.4</v>
      </c>
      <c r="D177" s="298"/>
      <c r="E177" s="298"/>
      <c r="F177" s="298"/>
      <c r="G177" s="298"/>
      <c r="H177" s="298"/>
      <c r="I177" s="298">
        <f t="shared" si="13"/>
        <v>6.4</v>
      </c>
      <c r="J177" s="298"/>
      <c r="K177" s="298"/>
      <c r="L177" s="299"/>
    </row>
    <row r="178" spans="1:12" x14ac:dyDescent="0.25">
      <c r="A178" s="297"/>
      <c r="B178" s="298"/>
      <c r="C178" s="298"/>
      <c r="D178" s="298"/>
      <c r="E178" s="298"/>
      <c r="F178" s="298"/>
      <c r="G178" s="298"/>
      <c r="H178" s="298"/>
      <c r="I178" s="298"/>
      <c r="J178" s="298"/>
      <c r="K178" s="298"/>
      <c r="L178" s="299"/>
    </row>
    <row r="179" spans="1:12" x14ac:dyDescent="0.25">
      <c r="A179" s="297"/>
      <c r="B179" s="301" t="s">
        <v>409</v>
      </c>
      <c r="C179" s="301"/>
      <c r="D179" s="301"/>
      <c r="E179" s="301"/>
      <c r="F179" s="301"/>
      <c r="G179" s="301"/>
      <c r="H179" s="301"/>
      <c r="I179" s="301">
        <f>ROUND(SUM(I174:I177),2)</f>
        <v>20.2</v>
      </c>
      <c r="J179" s="298"/>
      <c r="K179" s="298"/>
      <c r="L179" s="299"/>
    </row>
    <row r="180" spans="1:12" s="100" customFormat="1" ht="15.75" thickBot="1" x14ac:dyDescent="0.3">
      <c r="A180" s="305"/>
      <c r="B180" s="306"/>
      <c r="C180" s="306"/>
      <c r="D180" s="306"/>
      <c r="E180" s="306"/>
      <c r="F180" s="306"/>
      <c r="G180" s="306"/>
      <c r="H180" s="306"/>
      <c r="I180" s="306"/>
      <c r="J180" s="307"/>
      <c r="K180" s="307"/>
      <c r="L180" s="308"/>
    </row>
    <row r="181" spans="1:12" s="100" customFormat="1" ht="15.75" thickBot="1" x14ac:dyDescent="0.3">
      <c r="A181" s="311" t="s">
        <v>62</v>
      </c>
      <c r="B181" s="312" t="str">
        <f>'PLANILHA DEPÓSITO'!C29</f>
        <v>REVESTIMENTO</v>
      </c>
      <c r="C181" s="313"/>
      <c r="D181" s="313"/>
      <c r="E181" s="313"/>
      <c r="F181" s="313"/>
      <c r="G181" s="313"/>
      <c r="H181" s="313"/>
      <c r="I181" s="313"/>
      <c r="J181" s="313"/>
      <c r="K181" s="313"/>
      <c r="L181" s="314"/>
    </row>
    <row r="182" spans="1:12" s="100" customFormat="1" ht="30" customHeight="1" x14ac:dyDescent="0.25">
      <c r="A182" s="300" t="s">
        <v>63</v>
      </c>
      <c r="B182" s="301" t="str">
        <f>'PLANILHA DEPÓSITO'!B30</f>
        <v>87879/SINAPI</v>
      </c>
      <c r="C182" s="441" t="str">
        <f>'PLANILHA DEPÓSITO'!C30</f>
        <v>CHAPISCO APLICADO EM ALVENARIAS E ESTRUTURAS DE CONCRETO INTERNAS, COM COLHER DE PEDREIRO. ARGAMASSA TRAÇO 1:3 COM PREPARO EM BETONEIRA 400L. AF_06/2014</v>
      </c>
      <c r="D182" s="441"/>
      <c r="E182" s="441"/>
      <c r="F182" s="441"/>
      <c r="G182" s="441"/>
      <c r="H182" s="441"/>
      <c r="I182" s="441"/>
      <c r="J182" s="441"/>
      <c r="K182" s="441"/>
      <c r="L182" s="442"/>
    </row>
    <row r="183" spans="1:12" s="100" customFormat="1" x14ac:dyDescent="0.25">
      <c r="A183" s="297"/>
      <c r="B183" s="298"/>
      <c r="C183" s="298" t="s">
        <v>403</v>
      </c>
      <c r="D183" s="298" t="s">
        <v>252</v>
      </c>
      <c r="E183" s="301"/>
      <c r="F183" s="301"/>
      <c r="G183" s="301"/>
      <c r="H183" s="301"/>
      <c r="I183" s="301"/>
      <c r="J183" s="298"/>
      <c r="K183" s="298"/>
      <c r="L183" s="299"/>
    </row>
    <row r="184" spans="1:12" s="100" customFormat="1" x14ac:dyDescent="0.25">
      <c r="A184" s="297"/>
      <c r="B184" s="298" t="s">
        <v>462</v>
      </c>
      <c r="C184" s="298">
        <v>3.7</v>
      </c>
      <c r="D184" s="298">
        <v>2.6</v>
      </c>
      <c r="E184" s="301"/>
      <c r="F184" s="301"/>
      <c r="G184" s="301"/>
      <c r="H184" s="301"/>
      <c r="I184" s="304">
        <f>ROUND(C184*D184,2)</f>
        <v>9.6199999999999992</v>
      </c>
      <c r="J184" s="298"/>
      <c r="K184" s="298"/>
      <c r="L184" s="299"/>
    </row>
    <row r="185" spans="1:12" s="100" customFormat="1" x14ac:dyDescent="0.25">
      <c r="A185" s="297"/>
      <c r="B185" s="298" t="s">
        <v>463</v>
      </c>
      <c r="C185" s="298">
        <v>3.7</v>
      </c>
      <c r="D185" s="298">
        <v>2.6</v>
      </c>
      <c r="E185" s="301"/>
      <c r="F185" s="301"/>
      <c r="G185" s="301"/>
      <c r="H185" s="301"/>
      <c r="I185" s="298">
        <f t="shared" ref="I185:I191" si="14">ROUND(C185*D185,2)</f>
        <v>9.6199999999999992</v>
      </c>
      <c r="J185" s="298"/>
      <c r="K185" s="298"/>
      <c r="L185" s="299"/>
    </row>
    <row r="186" spans="1:12" s="100" customFormat="1" x14ac:dyDescent="0.25">
      <c r="A186" s="297"/>
      <c r="B186" s="298" t="s">
        <v>464</v>
      </c>
      <c r="C186" s="298">
        <v>5.65</v>
      </c>
      <c r="D186" s="298">
        <v>2.6</v>
      </c>
      <c r="E186" s="301"/>
      <c r="F186" s="301"/>
      <c r="G186" s="301"/>
      <c r="H186" s="301"/>
      <c r="I186" s="298">
        <f t="shared" si="14"/>
        <v>14.69</v>
      </c>
      <c r="J186" s="298"/>
      <c r="K186" s="298"/>
      <c r="L186" s="299"/>
    </row>
    <row r="187" spans="1:12" s="100" customFormat="1" x14ac:dyDescent="0.25">
      <c r="A187" s="297"/>
      <c r="B187" s="298" t="s">
        <v>465</v>
      </c>
      <c r="C187" s="298">
        <v>5.65</v>
      </c>
      <c r="D187" s="298">
        <v>2.6</v>
      </c>
      <c r="E187" s="301"/>
      <c r="F187" s="301"/>
      <c r="G187" s="301"/>
      <c r="H187" s="301"/>
      <c r="I187" s="298">
        <f t="shared" si="14"/>
        <v>14.69</v>
      </c>
      <c r="J187" s="298"/>
      <c r="K187" s="298"/>
      <c r="L187" s="299"/>
    </row>
    <row r="188" spans="1:12" s="100" customFormat="1" x14ac:dyDescent="0.25">
      <c r="A188" s="297"/>
      <c r="B188" s="298" t="s">
        <v>484</v>
      </c>
      <c r="C188" s="298">
        <v>6.4</v>
      </c>
      <c r="D188" s="298">
        <v>3.1</v>
      </c>
      <c r="E188" s="301"/>
      <c r="F188" s="301"/>
      <c r="G188" s="301"/>
      <c r="H188" s="301"/>
      <c r="I188" s="298">
        <f t="shared" si="14"/>
        <v>19.84</v>
      </c>
      <c r="J188" s="298"/>
      <c r="K188" s="298"/>
      <c r="L188" s="299"/>
    </row>
    <row r="189" spans="1:12" s="100" customFormat="1" x14ac:dyDescent="0.25">
      <c r="A189" s="297"/>
      <c r="B189" s="298" t="s">
        <v>485</v>
      </c>
      <c r="C189" s="298">
        <v>4.4000000000000004</v>
      </c>
      <c r="D189" s="298">
        <v>3.1</v>
      </c>
      <c r="E189" s="301"/>
      <c r="F189" s="301"/>
      <c r="G189" s="301"/>
      <c r="H189" s="301"/>
      <c r="I189" s="298">
        <f t="shared" si="14"/>
        <v>13.64</v>
      </c>
      <c r="J189" s="298"/>
      <c r="K189" s="298"/>
      <c r="L189" s="299"/>
    </row>
    <row r="190" spans="1:12" s="100" customFormat="1" x14ac:dyDescent="0.25">
      <c r="A190" s="297"/>
      <c r="B190" s="298" t="s">
        <v>486</v>
      </c>
      <c r="C190" s="298">
        <v>4.4000000000000004</v>
      </c>
      <c r="D190" s="298">
        <v>3.1</v>
      </c>
      <c r="E190" s="301"/>
      <c r="F190" s="301"/>
      <c r="G190" s="301"/>
      <c r="H190" s="301"/>
      <c r="I190" s="298">
        <f t="shared" si="14"/>
        <v>13.64</v>
      </c>
      <c r="J190" s="298"/>
      <c r="K190" s="298"/>
      <c r="L190" s="299"/>
    </row>
    <row r="191" spans="1:12" s="100" customFormat="1" x14ac:dyDescent="0.25">
      <c r="A191" s="297"/>
      <c r="B191" s="298" t="s">
        <v>487</v>
      </c>
      <c r="C191" s="298">
        <f>6.4+6.4+4+4</f>
        <v>20.8</v>
      </c>
      <c r="D191" s="298">
        <v>0.5</v>
      </c>
      <c r="E191" s="301"/>
      <c r="F191" s="301"/>
      <c r="G191" s="301"/>
      <c r="H191" s="301"/>
      <c r="I191" s="304">
        <f t="shared" si="14"/>
        <v>10.4</v>
      </c>
      <c r="J191" s="298"/>
      <c r="K191" s="298"/>
      <c r="L191" s="299"/>
    </row>
    <row r="192" spans="1:12" s="100" customFormat="1" x14ac:dyDescent="0.25">
      <c r="A192" s="297"/>
      <c r="B192" s="298" t="s">
        <v>488</v>
      </c>
      <c r="C192" s="298"/>
      <c r="D192" s="298"/>
      <c r="E192" s="301"/>
      <c r="F192" s="301"/>
      <c r="G192" s="301"/>
      <c r="H192" s="301"/>
      <c r="I192" s="304">
        <f>4*3</f>
        <v>12</v>
      </c>
      <c r="J192" s="298"/>
      <c r="K192" s="298"/>
      <c r="L192" s="299"/>
    </row>
    <row r="193" spans="1:16" s="100" customFormat="1" x14ac:dyDescent="0.25">
      <c r="A193" s="297"/>
      <c r="B193" s="298"/>
      <c r="C193" s="301"/>
      <c r="D193" s="301"/>
      <c r="E193" s="301"/>
      <c r="F193" s="301"/>
      <c r="G193" s="301"/>
      <c r="H193" s="301"/>
      <c r="I193" s="301"/>
      <c r="J193" s="298"/>
      <c r="K193" s="298"/>
      <c r="L193" s="299"/>
    </row>
    <row r="194" spans="1:16" s="100" customFormat="1" x14ac:dyDescent="0.25">
      <c r="A194" s="297"/>
      <c r="B194" s="301" t="s">
        <v>409</v>
      </c>
      <c r="C194" s="301"/>
      <c r="D194" s="301"/>
      <c r="E194" s="301"/>
      <c r="F194" s="301"/>
      <c r="G194" s="301"/>
      <c r="H194" s="301"/>
      <c r="I194" s="301">
        <f>ROUND(SUM(I184:I192),2)</f>
        <v>118.14</v>
      </c>
      <c r="J194" s="298"/>
      <c r="K194" s="298"/>
      <c r="L194" s="299"/>
    </row>
    <row r="195" spans="1:16" s="100" customFormat="1" x14ac:dyDescent="0.25">
      <c r="A195" s="297"/>
      <c r="B195" s="301"/>
      <c r="C195" s="301"/>
      <c r="D195" s="301"/>
      <c r="E195" s="301"/>
      <c r="F195" s="301"/>
      <c r="G195" s="301"/>
      <c r="H195" s="301"/>
      <c r="I195" s="301"/>
      <c r="J195" s="298"/>
      <c r="K195" s="298"/>
      <c r="L195" s="299"/>
    </row>
    <row r="196" spans="1:16" s="100" customFormat="1" ht="45.75" customHeight="1" x14ac:dyDescent="0.25">
      <c r="A196" s="300" t="s">
        <v>64</v>
      </c>
      <c r="B196" s="301" t="str">
        <f>'PLANILHA DEPÓSITO'!B31</f>
        <v>87529/SINAPI</v>
      </c>
      <c r="C196" s="441" t="str">
        <f>'PLANILHA DEPÓSITO'!C31</f>
        <v>MASSA ÚNICA, PARA RECEBIMENTO DE PINTURA, EM ARGAMASSA TRAÇO 1:2:8, PREPARO MECÂNICO COM BETONEIRA 400L, APLICADA MANUALMENTE EM FACES INTERNAS DE PAREDES, ESPESSURA DE 20MM, COM EXECUÇÃO DE TALISCAS. AF_06/2014</v>
      </c>
      <c r="D196" s="441"/>
      <c r="E196" s="441"/>
      <c r="F196" s="441"/>
      <c r="G196" s="441"/>
      <c r="H196" s="441"/>
      <c r="I196" s="441"/>
      <c r="J196" s="441"/>
      <c r="K196" s="441"/>
      <c r="L196" s="442"/>
      <c r="M196" s="201"/>
      <c r="N196" s="201"/>
      <c r="O196" s="201"/>
      <c r="P196" s="201"/>
    </row>
    <row r="197" spans="1:16" s="100" customFormat="1" x14ac:dyDescent="0.25">
      <c r="A197" s="297"/>
      <c r="B197" s="298"/>
      <c r="C197" s="298" t="s">
        <v>403</v>
      </c>
      <c r="D197" s="298" t="s">
        <v>252</v>
      </c>
      <c r="E197" s="301"/>
      <c r="F197" s="301"/>
      <c r="G197" s="301"/>
      <c r="H197" s="301"/>
      <c r="I197" s="301"/>
      <c r="J197" s="298"/>
      <c r="K197" s="298"/>
      <c r="L197" s="299"/>
      <c r="M197" s="201"/>
      <c r="N197" s="201"/>
      <c r="O197" s="201"/>
      <c r="P197" s="201"/>
    </row>
    <row r="198" spans="1:16" s="100" customFormat="1" x14ac:dyDescent="0.25">
      <c r="A198" s="297"/>
      <c r="B198" s="298" t="s">
        <v>462</v>
      </c>
      <c r="C198" s="298">
        <v>3.7</v>
      </c>
      <c r="D198" s="298">
        <v>2.6</v>
      </c>
      <c r="E198" s="301"/>
      <c r="F198" s="301"/>
      <c r="G198" s="301"/>
      <c r="H198" s="301"/>
      <c r="I198" s="304">
        <f>ROUND(C198*D198,2)</f>
        <v>9.6199999999999992</v>
      </c>
      <c r="J198" s="298"/>
      <c r="K198" s="298"/>
      <c r="L198" s="299"/>
      <c r="M198" s="201"/>
      <c r="N198" s="201"/>
      <c r="O198" s="201"/>
      <c r="P198" s="201"/>
    </row>
    <row r="199" spans="1:16" s="100" customFormat="1" x14ac:dyDescent="0.25">
      <c r="A199" s="297"/>
      <c r="B199" s="298" t="s">
        <v>463</v>
      </c>
      <c r="C199" s="298">
        <v>3.7</v>
      </c>
      <c r="D199" s="298">
        <v>2.6</v>
      </c>
      <c r="E199" s="301"/>
      <c r="F199" s="301"/>
      <c r="G199" s="301"/>
      <c r="H199" s="301"/>
      <c r="I199" s="298">
        <f t="shared" ref="I199:I204" si="15">ROUND(C199*D199,2)</f>
        <v>9.6199999999999992</v>
      </c>
      <c r="J199" s="298"/>
      <c r="K199" s="298"/>
      <c r="L199" s="299"/>
      <c r="M199" s="201"/>
      <c r="N199" s="201"/>
      <c r="O199" s="201"/>
      <c r="P199" s="201"/>
    </row>
    <row r="200" spans="1:16" s="100" customFormat="1" x14ac:dyDescent="0.25">
      <c r="A200" s="297"/>
      <c r="B200" s="298" t="s">
        <v>464</v>
      </c>
      <c r="C200" s="298">
        <v>5.65</v>
      </c>
      <c r="D200" s="298">
        <v>2.6</v>
      </c>
      <c r="E200" s="301"/>
      <c r="F200" s="301"/>
      <c r="G200" s="301"/>
      <c r="H200" s="301"/>
      <c r="I200" s="298">
        <f t="shared" si="15"/>
        <v>14.69</v>
      </c>
      <c r="J200" s="298"/>
      <c r="K200" s="298"/>
      <c r="L200" s="299"/>
      <c r="M200" s="201"/>
      <c r="N200" s="201"/>
      <c r="O200" s="201"/>
      <c r="P200" s="201"/>
    </row>
    <row r="201" spans="1:16" s="100" customFormat="1" x14ac:dyDescent="0.25">
      <c r="A201" s="297"/>
      <c r="B201" s="298" t="s">
        <v>465</v>
      </c>
      <c r="C201" s="298">
        <v>5.65</v>
      </c>
      <c r="D201" s="298">
        <v>2.6</v>
      </c>
      <c r="E201" s="301"/>
      <c r="F201" s="301"/>
      <c r="G201" s="301"/>
      <c r="H201" s="301"/>
      <c r="I201" s="298">
        <f t="shared" si="15"/>
        <v>14.69</v>
      </c>
      <c r="J201" s="298"/>
      <c r="K201" s="298"/>
      <c r="L201" s="299"/>
      <c r="M201" s="201"/>
      <c r="N201" s="201"/>
      <c r="O201" s="201"/>
      <c r="P201" s="201"/>
    </row>
    <row r="202" spans="1:16" s="100" customFormat="1" x14ac:dyDescent="0.25">
      <c r="A202" s="297"/>
      <c r="B202" s="298" t="s">
        <v>484</v>
      </c>
      <c r="C202" s="298">
        <v>6.4</v>
      </c>
      <c r="D202" s="298">
        <v>0.5</v>
      </c>
      <c r="E202" s="301"/>
      <c r="F202" s="301"/>
      <c r="G202" s="301"/>
      <c r="H202" s="301"/>
      <c r="I202" s="298">
        <f t="shared" si="15"/>
        <v>3.2</v>
      </c>
      <c r="J202" s="298"/>
      <c r="K202" s="298"/>
      <c r="L202" s="299"/>
      <c r="M202" s="201"/>
      <c r="N202" s="201"/>
      <c r="O202" s="201"/>
      <c r="P202" s="201"/>
    </row>
    <row r="203" spans="1:16" s="100" customFormat="1" x14ac:dyDescent="0.25">
      <c r="A203" s="297"/>
      <c r="B203" s="298" t="s">
        <v>485</v>
      </c>
      <c r="C203" s="298">
        <v>4.4000000000000004</v>
      </c>
      <c r="D203" s="298">
        <v>0.5</v>
      </c>
      <c r="E203" s="301"/>
      <c r="F203" s="301"/>
      <c r="G203" s="301"/>
      <c r="H203" s="301"/>
      <c r="I203" s="298">
        <f t="shared" si="15"/>
        <v>2.2000000000000002</v>
      </c>
      <c r="J203" s="298"/>
      <c r="K203" s="298"/>
      <c r="L203" s="299"/>
      <c r="M203" s="201"/>
      <c r="N203" s="201"/>
      <c r="O203" s="201"/>
      <c r="P203" s="201"/>
    </row>
    <row r="204" spans="1:16" s="100" customFormat="1" x14ac:dyDescent="0.25">
      <c r="A204" s="297"/>
      <c r="B204" s="298" t="s">
        <v>486</v>
      </c>
      <c r="C204" s="298">
        <v>4.4000000000000004</v>
      </c>
      <c r="D204" s="298">
        <v>0.5</v>
      </c>
      <c r="E204" s="301"/>
      <c r="F204" s="301"/>
      <c r="G204" s="301"/>
      <c r="H204" s="301"/>
      <c r="I204" s="298">
        <f t="shared" si="15"/>
        <v>2.2000000000000002</v>
      </c>
      <c r="J204" s="298"/>
      <c r="K204" s="298"/>
      <c r="L204" s="299"/>
      <c r="M204" s="201"/>
      <c r="N204" s="201"/>
      <c r="O204" s="201"/>
      <c r="P204" s="201"/>
    </row>
    <row r="205" spans="1:16" s="100" customFormat="1" x14ac:dyDescent="0.25">
      <c r="A205" s="297"/>
      <c r="B205" s="298" t="s">
        <v>488</v>
      </c>
      <c r="C205" s="298"/>
      <c r="D205" s="298"/>
      <c r="E205" s="301"/>
      <c r="F205" s="301"/>
      <c r="G205" s="301"/>
      <c r="H205" s="301"/>
      <c r="I205" s="304">
        <v>4</v>
      </c>
      <c r="J205" s="298"/>
      <c r="K205" s="298"/>
      <c r="L205" s="299"/>
      <c r="M205" s="201"/>
      <c r="N205" s="201"/>
      <c r="O205" s="201"/>
      <c r="P205" s="201"/>
    </row>
    <row r="206" spans="1:16" x14ac:dyDescent="0.25">
      <c r="A206" s="297"/>
      <c r="B206" s="298"/>
      <c r="C206" s="298"/>
      <c r="D206" s="298"/>
      <c r="E206" s="298"/>
      <c r="F206" s="298"/>
      <c r="G206" s="298"/>
      <c r="H206" s="298"/>
      <c r="I206" s="298"/>
      <c r="J206" s="298"/>
      <c r="K206" s="298"/>
      <c r="L206" s="299"/>
      <c r="M206" s="201"/>
      <c r="N206" s="201"/>
      <c r="O206" s="201"/>
      <c r="P206" s="201"/>
    </row>
    <row r="207" spans="1:16" s="100" customFormat="1" x14ac:dyDescent="0.25">
      <c r="A207" s="297"/>
      <c r="B207" s="301" t="s">
        <v>409</v>
      </c>
      <c r="C207" s="301"/>
      <c r="D207" s="301"/>
      <c r="E207" s="301"/>
      <c r="F207" s="301"/>
      <c r="G207" s="301"/>
      <c r="H207" s="301"/>
      <c r="I207" s="303">
        <f>ROUND(SUM(I198:I205),2)</f>
        <v>60.22</v>
      </c>
      <c r="J207" s="298"/>
      <c r="K207" s="298"/>
      <c r="L207" s="299"/>
      <c r="M207" s="201"/>
      <c r="N207" s="201"/>
      <c r="O207" s="201"/>
      <c r="P207" s="201"/>
    </row>
    <row r="208" spans="1:16" s="100" customFormat="1" x14ac:dyDescent="0.25">
      <c r="A208" s="297"/>
      <c r="B208" s="301"/>
      <c r="C208" s="301"/>
      <c r="D208" s="301"/>
      <c r="E208" s="301"/>
      <c r="F208" s="301"/>
      <c r="G208" s="301"/>
      <c r="H208" s="301"/>
      <c r="I208" s="303"/>
      <c r="J208" s="298"/>
      <c r="K208" s="298"/>
      <c r="L208" s="299"/>
      <c r="M208" s="201"/>
      <c r="N208" s="201"/>
      <c r="O208" s="201"/>
      <c r="P208" s="201"/>
    </row>
    <row r="209" spans="1:16" s="100" customFormat="1" ht="45.75" customHeight="1" x14ac:dyDescent="0.25">
      <c r="A209" s="300" t="s">
        <v>373</v>
      </c>
      <c r="B209" s="301" t="str">
        <f>'PLANILHA DEPÓSITO'!B32</f>
        <v>87792/SINAPI</v>
      </c>
      <c r="C209" s="441" t="str">
        <f>'PLANILHA DEPÓSITO'!C32</f>
        <v>EMBOÇO OU MASSA ÚNICA EM ARGAMASSA TRAÇO 1:2:8, PREPARO MECÂNICO COM BETONEIRA 400 L, APLICADA MANUALMENTE EM PANOS CEGOS DE FACHADA (SEM PRESENÇA DE VÃOS), ESPESSURA DE 25 MM. AF_06/2014</v>
      </c>
      <c r="D209" s="441"/>
      <c r="E209" s="441"/>
      <c r="F209" s="441"/>
      <c r="G209" s="441"/>
      <c r="H209" s="441"/>
      <c r="I209" s="441"/>
      <c r="J209" s="441"/>
      <c r="K209" s="441"/>
      <c r="L209" s="442"/>
      <c r="M209" s="201"/>
      <c r="N209" s="201"/>
      <c r="O209" s="201"/>
      <c r="P209" s="201"/>
    </row>
    <row r="210" spans="1:16" s="100" customFormat="1" x14ac:dyDescent="0.25">
      <c r="A210" s="297"/>
      <c r="B210" s="298"/>
      <c r="C210" s="298" t="s">
        <v>403</v>
      </c>
      <c r="D210" s="298" t="s">
        <v>252</v>
      </c>
      <c r="E210" s="298"/>
      <c r="F210" s="298"/>
      <c r="G210" s="298"/>
      <c r="H210" s="301"/>
      <c r="I210" s="303"/>
      <c r="J210" s="298"/>
      <c r="K210" s="298"/>
      <c r="L210" s="299"/>
      <c r="M210" s="201"/>
      <c r="N210" s="201"/>
      <c r="O210" s="201"/>
      <c r="P210" s="201"/>
    </row>
    <row r="211" spans="1:16" s="100" customFormat="1" x14ac:dyDescent="0.25">
      <c r="A211" s="297"/>
      <c r="B211" s="298" t="s">
        <v>484</v>
      </c>
      <c r="C211" s="298">
        <v>6.4</v>
      </c>
      <c r="D211" s="298">
        <v>2.6</v>
      </c>
      <c r="E211" s="301"/>
      <c r="F211" s="301"/>
      <c r="G211" s="301"/>
      <c r="H211" s="301"/>
      <c r="I211" s="298">
        <f t="shared" ref="I211:I213" si="16">ROUND(C211*D211,2)</f>
        <v>16.64</v>
      </c>
      <c r="J211" s="298"/>
      <c r="K211" s="298"/>
      <c r="L211" s="299"/>
      <c r="M211" s="201"/>
      <c r="N211" s="201"/>
      <c r="O211" s="201"/>
      <c r="P211" s="201"/>
    </row>
    <row r="212" spans="1:16" s="100" customFormat="1" x14ac:dyDescent="0.25">
      <c r="A212" s="297"/>
      <c r="B212" s="298" t="s">
        <v>485</v>
      </c>
      <c r="C212" s="298">
        <v>4.4000000000000004</v>
      </c>
      <c r="D212" s="298">
        <v>2.6</v>
      </c>
      <c r="E212" s="301"/>
      <c r="F212" s="301"/>
      <c r="G212" s="301"/>
      <c r="H212" s="301"/>
      <c r="I212" s="298">
        <f t="shared" si="16"/>
        <v>11.44</v>
      </c>
      <c r="J212" s="298"/>
      <c r="K212" s="298"/>
      <c r="L212" s="299"/>
      <c r="M212" s="201"/>
      <c r="N212" s="201"/>
      <c r="O212" s="201"/>
      <c r="P212" s="201"/>
    </row>
    <row r="213" spans="1:16" s="100" customFormat="1" x14ac:dyDescent="0.25">
      <c r="A213" s="297"/>
      <c r="B213" s="298" t="s">
        <v>486</v>
      </c>
      <c r="C213" s="298">
        <v>4.4000000000000004</v>
      </c>
      <c r="D213" s="298">
        <v>2.6</v>
      </c>
      <c r="E213" s="301"/>
      <c r="F213" s="301"/>
      <c r="G213" s="301"/>
      <c r="H213" s="301"/>
      <c r="I213" s="298">
        <f t="shared" si="16"/>
        <v>11.44</v>
      </c>
      <c r="J213" s="298"/>
      <c r="K213" s="298"/>
      <c r="L213" s="299"/>
      <c r="M213" s="201"/>
      <c r="N213" s="201"/>
      <c r="O213" s="201"/>
      <c r="P213" s="201"/>
    </row>
    <row r="214" spans="1:16" s="100" customFormat="1" x14ac:dyDescent="0.25">
      <c r="A214" s="297"/>
      <c r="B214" s="298"/>
      <c r="C214" s="298"/>
      <c r="D214" s="298"/>
      <c r="E214" s="298"/>
      <c r="F214" s="298"/>
      <c r="G214" s="298"/>
      <c r="H214" s="301"/>
      <c r="I214" s="303"/>
      <c r="J214" s="298"/>
      <c r="K214" s="298"/>
      <c r="L214" s="299"/>
      <c r="M214" s="201"/>
      <c r="N214" s="201"/>
      <c r="O214" s="201"/>
      <c r="P214" s="201"/>
    </row>
    <row r="215" spans="1:16" s="100" customFormat="1" x14ac:dyDescent="0.25">
      <c r="A215" s="297"/>
      <c r="B215" s="301" t="s">
        <v>409</v>
      </c>
      <c r="C215" s="301"/>
      <c r="D215" s="301"/>
      <c r="E215" s="301"/>
      <c r="F215" s="301"/>
      <c r="G215" s="301"/>
      <c r="H215" s="301"/>
      <c r="I215" s="303">
        <f>ROUND(SUM(I211:I213),2)</f>
        <v>39.520000000000003</v>
      </c>
      <c r="J215" s="298"/>
      <c r="K215" s="298"/>
      <c r="L215" s="299"/>
      <c r="M215" s="201"/>
      <c r="N215" s="201"/>
      <c r="O215" s="201"/>
      <c r="P215" s="201"/>
    </row>
    <row r="216" spans="1:16" s="100" customFormat="1" x14ac:dyDescent="0.25">
      <c r="A216" s="297"/>
      <c r="B216" s="301"/>
      <c r="C216" s="301"/>
      <c r="D216" s="301"/>
      <c r="E216" s="301"/>
      <c r="F216" s="301"/>
      <c r="G216" s="301"/>
      <c r="H216" s="301"/>
      <c r="I216" s="303"/>
      <c r="J216" s="298"/>
      <c r="K216" s="298"/>
      <c r="L216" s="299"/>
      <c r="M216" s="201"/>
      <c r="N216" s="201"/>
      <c r="O216" s="201"/>
      <c r="P216" s="201"/>
    </row>
    <row r="217" spans="1:16" s="100" customFormat="1" x14ac:dyDescent="0.25">
      <c r="A217" s="300" t="s">
        <v>374</v>
      </c>
      <c r="B217" s="303" t="str">
        <f>'PLANILHA DEPÓSITO'!B33</f>
        <v>IFPB 02</v>
      </c>
      <c r="C217" s="449" t="str">
        <f>'PLANILHA DEPÓSITO'!C33</f>
        <v>Revestimento em Casquilho Cerâmico (conforme proj. de arquitetura), inclusive rejunte flexível</v>
      </c>
      <c r="D217" s="449"/>
      <c r="E217" s="449"/>
      <c r="F217" s="449"/>
      <c r="G217" s="449"/>
      <c r="H217" s="449"/>
      <c r="I217" s="449"/>
      <c r="J217" s="449"/>
      <c r="K217" s="449"/>
      <c r="L217" s="450"/>
      <c r="M217" s="201"/>
      <c r="N217" s="201"/>
      <c r="O217" s="201"/>
      <c r="P217" s="201"/>
    </row>
    <row r="218" spans="1:16" s="100" customFormat="1" x14ac:dyDescent="0.25">
      <c r="A218" s="297"/>
      <c r="B218" s="298"/>
      <c r="C218" s="298" t="s">
        <v>403</v>
      </c>
      <c r="D218" s="298" t="s">
        <v>252</v>
      </c>
      <c r="E218" s="298"/>
      <c r="F218" s="298"/>
      <c r="G218" s="298"/>
      <c r="H218" s="301"/>
      <c r="I218" s="303"/>
      <c r="J218" s="298"/>
      <c r="K218" s="298"/>
      <c r="L218" s="299"/>
      <c r="M218" s="201"/>
      <c r="N218" s="201"/>
      <c r="O218" s="201"/>
      <c r="P218" s="201"/>
    </row>
    <row r="219" spans="1:16" s="100" customFormat="1" x14ac:dyDescent="0.25">
      <c r="A219" s="297"/>
      <c r="B219" s="298" t="s">
        <v>484</v>
      </c>
      <c r="C219" s="298">
        <v>6.4</v>
      </c>
      <c r="D219" s="298">
        <v>2.6</v>
      </c>
      <c r="E219" s="301"/>
      <c r="F219" s="301"/>
      <c r="G219" s="301"/>
      <c r="H219" s="301"/>
      <c r="I219" s="298">
        <f t="shared" ref="I219:I221" si="17">ROUND(C219*D219,2)</f>
        <v>16.64</v>
      </c>
      <c r="J219" s="298"/>
      <c r="K219" s="298"/>
      <c r="L219" s="299"/>
      <c r="M219" s="201"/>
      <c r="N219" s="201"/>
      <c r="O219" s="201"/>
      <c r="P219" s="201"/>
    </row>
    <row r="220" spans="1:16" s="100" customFormat="1" x14ac:dyDescent="0.25">
      <c r="A220" s="297"/>
      <c r="B220" s="298" t="s">
        <v>485</v>
      </c>
      <c r="C220" s="298">
        <v>4.4000000000000004</v>
      </c>
      <c r="D220" s="298">
        <v>2.6</v>
      </c>
      <c r="E220" s="301"/>
      <c r="F220" s="301"/>
      <c r="G220" s="301"/>
      <c r="H220" s="301"/>
      <c r="I220" s="298">
        <f t="shared" si="17"/>
        <v>11.44</v>
      </c>
      <c r="J220" s="298"/>
      <c r="K220" s="298"/>
      <c r="L220" s="299"/>
      <c r="M220" s="201"/>
      <c r="N220" s="201"/>
      <c r="O220" s="201"/>
      <c r="P220" s="201"/>
    </row>
    <row r="221" spans="1:16" s="100" customFormat="1" x14ac:dyDescent="0.25">
      <c r="A221" s="297"/>
      <c r="B221" s="298" t="s">
        <v>486</v>
      </c>
      <c r="C221" s="298">
        <v>4.4000000000000004</v>
      </c>
      <c r="D221" s="298">
        <v>2.6</v>
      </c>
      <c r="E221" s="301"/>
      <c r="F221" s="301"/>
      <c r="G221" s="301"/>
      <c r="H221" s="301"/>
      <c r="I221" s="298">
        <f t="shared" si="17"/>
        <v>11.44</v>
      </c>
      <c r="J221" s="298"/>
      <c r="K221" s="298"/>
      <c r="L221" s="299"/>
      <c r="M221" s="201"/>
      <c r="N221" s="201"/>
      <c r="O221" s="201"/>
      <c r="P221" s="201"/>
    </row>
    <row r="222" spans="1:16" s="100" customFormat="1" x14ac:dyDescent="0.25">
      <c r="A222" s="297"/>
      <c r="B222" s="298"/>
      <c r="C222" s="298"/>
      <c r="D222" s="298"/>
      <c r="E222" s="298"/>
      <c r="F222" s="298"/>
      <c r="G222" s="298"/>
      <c r="H222" s="301"/>
      <c r="I222" s="303"/>
      <c r="J222" s="298"/>
      <c r="K222" s="298"/>
      <c r="L222" s="299"/>
      <c r="M222" s="201"/>
      <c r="N222" s="201"/>
      <c r="O222" s="201"/>
      <c r="P222" s="201"/>
    </row>
    <row r="223" spans="1:16" s="100" customFormat="1" x14ac:dyDescent="0.25">
      <c r="A223" s="297"/>
      <c r="B223" s="301" t="s">
        <v>409</v>
      </c>
      <c r="C223" s="301"/>
      <c r="D223" s="301"/>
      <c r="E223" s="301"/>
      <c r="F223" s="301"/>
      <c r="G223" s="301"/>
      <c r="H223" s="301"/>
      <c r="I223" s="303">
        <f>ROUND(SUM(I219:I221),2)</f>
        <v>39.520000000000003</v>
      </c>
      <c r="J223" s="298"/>
      <c r="K223" s="298"/>
      <c r="L223" s="299"/>
      <c r="M223" s="201"/>
      <c r="N223" s="201"/>
      <c r="O223" s="201"/>
      <c r="P223" s="201"/>
    </row>
    <row r="224" spans="1:16" s="100" customFormat="1" ht="15.75" thickBot="1" x14ac:dyDescent="0.3">
      <c r="A224" s="305"/>
      <c r="B224" s="306"/>
      <c r="C224" s="306"/>
      <c r="D224" s="306"/>
      <c r="E224" s="306"/>
      <c r="F224" s="306"/>
      <c r="G224" s="306"/>
      <c r="H224" s="306"/>
      <c r="I224" s="309"/>
      <c r="J224" s="307"/>
      <c r="K224" s="307"/>
      <c r="L224" s="308"/>
      <c r="M224" s="201"/>
      <c r="N224" s="201"/>
      <c r="O224" s="201"/>
      <c r="P224" s="201"/>
    </row>
    <row r="225" spans="1:16" s="100" customFormat="1" ht="15.75" thickBot="1" x14ac:dyDescent="0.3">
      <c r="A225" s="311" t="s">
        <v>66</v>
      </c>
      <c r="B225" s="312" t="str">
        <f>'PLANILHA DEPÓSITO'!C34</f>
        <v>ESQUADRIAS</v>
      </c>
      <c r="C225" s="313"/>
      <c r="D225" s="313"/>
      <c r="E225" s="313"/>
      <c r="F225" s="313"/>
      <c r="G225" s="313"/>
      <c r="H225" s="313"/>
      <c r="I225" s="312"/>
      <c r="J225" s="313"/>
      <c r="K225" s="313"/>
      <c r="L225" s="314"/>
      <c r="M225" s="201"/>
      <c r="N225" s="201"/>
      <c r="O225" s="201"/>
      <c r="P225" s="201"/>
    </row>
    <row r="226" spans="1:16" s="100" customFormat="1" x14ac:dyDescent="0.25">
      <c r="A226" s="300" t="s">
        <v>482</v>
      </c>
      <c r="B226" s="303" t="str">
        <f>'PLANILHA DEPÓSITO'!B36</f>
        <v>94559/SINAPI</v>
      </c>
      <c r="C226" s="449" t="str">
        <f>'PLANILHA DEPÓSITO'!C36</f>
        <v>JANELA DE AÇO BASCULANTE, FIXAÇÃO COM ARGAMASSA, SEM VIDROS, PADRONIZADA. AF_07/2016</v>
      </c>
      <c r="D226" s="449"/>
      <c r="E226" s="449"/>
      <c r="F226" s="449"/>
      <c r="G226" s="449"/>
      <c r="H226" s="449"/>
      <c r="I226" s="449"/>
      <c r="J226" s="449"/>
      <c r="K226" s="449"/>
      <c r="L226" s="450"/>
      <c r="M226" s="201"/>
      <c r="N226" s="201"/>
      <c r="O226" s="201"/>
      <c r="P226" s="201"/>
    </row>
    <row r="227" spans="1:16" s="100" customFormat="1" x14ac:dyDescent="0.25">
      <c r="A227" s="297"/>
      <c r="B227" s="298"/>
      <c r="C227" s="298" t="s">
        <v>403</v>
      </c>
      <c r="D227" s="298" t="s">
        <v>252</v>
      </c>
      <c r="E227" s="298"/>
      <c r="F227" s="298"/>
      <c r="G227" s="298"/>
      <c r="H227" s="298"/>
      <c r="I227" s="304"/>
      <c r="J227" s="298"/>
      <c r="K227" s="298"/>
      <c r="L227" s="299"/>
      <c r="M227" s="201"/>
      <c r="N227" s="201"/>
      <c r="O227" s="201"/>
      <c r="P227" s="201"/>
    </row>
    <row r="228" spans="1:16" s="100" customFormat="1" x14ac:dyDescent="0.25">
      <c r="A228" s="297"/>
      <c r="B228" s="298" t="s">
        <v>480</v>
      </c>
      <c r="C228" s="298">
        <v>1.8</v>
      </c>
      <c r="D228" s="298">
        <v>0.3</v>
      </c>
      <c r="E228" s="298"/>
      <c r="F228" s="298"/>
      <c r="G228" s="298"/>
      <c r="H228" s="298"/>
      <c r="I228" s="298">
        <f t="shared" ref="I228:I229" si="18">ROUND(C228*D228,2)</f>
        <v>0.54</v>
      </c>
      <c r="J228" s="298"/>
      <c r="K228" s="298"/>
      <c r="L228" s="299"/>
      <c r="M228" s="201"/>
      <c r="N228" s="201"/>
      <c r="O228" s="201"/>
      <c r="P228" s="201"/>
    </row>
    <row r="229" spans="1:16" s="100" customFormat="1" x14ac:dyDescent="0.25">
      <c r="A229" s="297"/>
      <c r="B229" s="298" t="s">
        <v>481</v>
      </c>
      <c r="C229" s="298">
        <v>1.8</v>
      </c>
      <c r="D229" s="298">
        <v>0.3</v>
      </c>
      <c r="E229" s="298"/>
      <c r="F229" s="298"/>
      <c r="G229" s="298"/>
      <c r="H229" s="298"/>
      <c r="I229" s="298">
        <f t="shared" si="18"/>
        <v>0.54</v>
      </c>
      <c r="J229" s="298"/>
      <c r="K229" s="298"/>
      <c r="L229" s="299"/>
      <c r="M229" s="201"/>
      <c r="N229" s="201"/>
      <c r="O229" s="201"/>
      <c r="P229" s="201"/>
    </row>
    <row r="230" spans="1:16" s="100" customFormat="1" x14ac:dyDescent="0.25">
      <c r="A230" s="297"/>
      <c r="B230" s="298"/>
      <c r="C230" s="298"/>
      <c r="D230" s="298"/>
      <c r="E230" s="298"/>
      <c r="F230" s="298"/>
      <c r="G230" s="298"/>
      <c r="H230" s="298"/>
      <c r="I230" s="304"/>
      <c r="J230" s="298"/>
      <c r="K230" s="298"/>
      <c r="L230" s="299"/>
      <c r="M230" s="201"/>
      <c r="N230" s="201"/>
      <c r="O230" s="201"/>
      <c r="P230" s="201"/>
    </row>
    <row r="231" spans="1:16" s="100" customFormat="1" x14ac:dyDescent="0.25">
      <c r="A231" s="297"/>
      <c r="B231" s="301" t="s">
        <v>409</v>
      </c>
      <c r="C231" s="301"/>
      <c r="D231" s="301"/>
      <c r="E231" s="301"/>
      <c r="F231" s="301"/>
      <c r="G231" s="301"/>
      <c r="H231" s="301"/>
      <c r="I231" s="303">
        <f>ROUND(SUM(I228:I229),2)</f>
        <v>1.08</v>
      </c>
      <c r="J231" s="298"/>
      <c r="K231" s="298"/>
      <c r="L231" s="299"/>
      <c r="M231" s="201"/>
      <c r="N231" s="201"/>
      <c r="O231" s="201"/>
      <c r="P231" s="201"/>
    </row>
    <row r="232" spans="1:16" s="100" customFormat="1" x14ac:dyDescent="0.25">
      <c r="A232" s="297"/>
      <c r="B232" s="298"/>
      <c r="C232" s="298"/>
      <c r="D232" s="298"/>
      <c r="E232" s="298"/>
      <c r="F232" s="298"/>
      <c r="G232" s="298"/>
      <c r="H232" s="298"/>
      <c r="I232" s="304"/>
      <c r="J232" s="298"/>
      <c r="K232" s="298"/>
      <c r="L232" s="299"/>
      <c r="M232" s="201"/>
      <c r="N232" s="201"/>
      <c r="O232" s="201"/>
      <c r="P232" s="201"/>
    </row>
    <row r="233" spans="1:16" s="100" customFormat="1" x14ac:dyDescent="0.25">
      <c r="A233" s="300" t="s">
        <v>483</v>
      </c>
      <c r="B233" s="303" t="str">
        <f>'PLANILHA DEPÓSITO'!B37</f>
        <v>72117/SINAPI</v>
      </c>
      <c r="C233" s="449" t="str">
        <f>'PLANILHA DEPÓSITO'!C37</f>
        <v>VIDRO LISO COMUM TRANSPARENTE, ESPESSURA 4MM</v>
      </c>
      <c r="D233" s="449"/>
      <c r="E233" s="449"/>
      <c r="F233" s="449"/>
      <c r="G233" s="449"/>
      <c r="H233" s="449"/>
      <c r="I233" s="449"/>
      <c r="J233" s="449"/>
      <c r="K233" s="449"/>
      <c r="L233" s="450"/>
      <c r="M233" s="201"/>
      <c r="N233" s="201"/>
      <c r="O233" s="201"/>
      <c r="P233" s="201"/>
    </row>
    <row r="234" spans="1:16" s="100" customFormat="1" x14ac:dyDescent="0.25">
      <c r="A234" s="297"/>
      <c r="B234" s="298"/>
      <c r="C234" s="298" t="s">
        <v>403</v>
      </c>
      <c r="D234" s="298" t="s">
        <v>252</v>
      </c>
      <c r="E234" s="298"/>
      <c r="F234" s="298"/>
      <c r="G234" s="298"/>
      <c r="H234" s="298"/>
      <c r="I234" s="304"/>
      <c r="J234" s="298"/>
      <c r="K234" s="298"/>
      <c r="L234" s="299"/>
      <c r="M234" s="201"/>
      <c r="N234" s="201"/>
      <c r="O234" s="201"/>
      <c r="P234" s="201"/>
    </row>
    <row r="235" spans="1:16" s="100" customFormat="1" x14ac:dyDescent="0.25">
      <c r="A235" s="297"/>
      <c r="B235" s="298" t="s">
        <v>480</v>
      </c>
      <c r="C235" s="298">
        <v>1.8</v>
      </c>
      <c r="D235" s="298">
        <v>0.3</v>
      </c>
      <c r="E235" s="298"/>
      <c r="F235" s="298"/>
      <c r="G235" s="298"/>
      <c r="H235" s="298"/>
      <c r="I235" s="298">
        <f t="shared" ref="I235:I236" si="19">ROUND(C235*D235,2)</f>
        <v>0.54</v>
      </c>
      <c r="J235" s="298"/>
      <c r="K235" s="298"/>
      <c r="L235" s="299"/>
      <c r="M235" s="201"/>
      <c r="N235" s="201"/>
      <c r="O235" s="201"/>
      <c r="P235" s="201"/>
    </row>
    <row r="236" spans="1:16" s="100" customFormat="1" x14ac:dyDescent="0.25">
      <c r="A236" s="297"/>
      <c r="B236" s="298" t="s">
        <v>481</v>
      </c>
      <c r="C236" s="298">
        <v>1.8</v>
      </c>
      <c r="D236" s="298">
        <v>0.3</v>
      </c>
      <c r="E236" s="298"/>
      <c r="F236" s="298"/>
      <c r="G236" s="298"/>
      <c r="H236" s="298"/>
      <c r="I236" s="298">
        <f t="shared" si="19"/>
        <v>0.54</v>
      </c>
      <c r="J236" s="298"/>
      <c r="K236" s="298"/>
      <c r="L236" s="299"/>
      <c r="M236" s="201"/>
      <c r="N236" s="201"/>
      <c r="O236" s="201"/>
      <c r="P236" s="201"/>
    </row>
    <row r="237" spans="1:16" s="100" customFormat="1" x14ac:dyDescent="0.25">
      <c r="A237" s="297"/>
      <c r="B237" s="298"/>
      <c r="C237" s="298"/>
      <c r="D237" s="298"/>
      <c r="E237" s="298"/>
      <c r="F237" s="298"/>
      <c r="G237" s="298"/>
      <c r="H237" s="298"/>
      <c r="I237" s="304"/>
      <c r="J237" s="298"/>
      <c r="K237" s="298"/>
      <c r="L237" s="299"/>
      <c r="M237" s="201"/>
      <c r="N237" s="201"/>
      <c r="O237" s="201"/>
      <c r="P237" s="201"/>
    </row>
    <row r="238" spans="1:16" s="100" customFormat="1" x14ac:dyDescent="0.25">
      <c r="A238" s="297"/>
      <c r="B238" s="301" t="s">
        <v>409</v>
      </c>
      <c r="C238" s="301"/>
      <c r="D238" s="301"/>
      <c r="E238" s="301"/>
      <c r="F238" s="301"/>
      <c r="G238" s="301"/>
      <c r="H238" s="301"/>
      <c r="I238" s="303">
        <f>ROUND(SUM(I235:I236),2)</f>
        <v>1.08</v>
      </c>
      <c r="J238" s="298"/>
      <c r="K238" s="298"/>
      <c r="L238" s="299"/>
      <c r="M238" s="201"/>
      <c r="N238" s="201"/>
      <c r="O238" s="201"/>
      <c r="P238" s="201"/>
    </row>
    <row r="239" spans="1:16" s="100" customFormat="1" ht="15.75" thickBot="1" x14ac:dyDescent="0.3">
      <c r="A239" s="305"/>
      <c r="B239" s="307"/>
      <c r="C239" s="307"/>
      <c r="D239" s="307"/>
      <c r="E239" s="307"/>
      <c r="F239" s="307"/>
      <c r="G239" s="307"/>
      <c r="H239" s="307"/>
      <c r="I239" s="310"/>
      <c r="J239" s="307"/>
      <c r="K239" s="307"/>
      <c r="L239" s="308"/>
      <c r="M239" s="201"/>
      <c r="N239" s="201"/>
      <c r="O239" s="201"/>
      <c r="P239" s="201"/>
    </row>
    <row r="240" spans="1:16" ht="15.75" thickBot="1" x14ac:dyDescent="0.3">
      <c r="A240" s="311" t="s">
        <v>128</v>
      </c>
      <c r="B240" s="313" t="s">
        <v>20</v>
      </c>
      <c r="C240" s="313"/>
      <c r="D240" s="313"/>
      <c r="E240" s="313"/>
      <c r="F240" s="313"/>
      <c r="G240" s="313"/>
      <c r="H240" s="313"/>
      <c r="I240" s="313"/>
      <c r="J240" s="313"/>
      <c r="K240" s="313"/>
      <c r="L240" s="314"/>
    </row>
    <row r="241" spans="1:12" x14ac:dyDescent="0.25">
      <c r="A241" s="300" t="s">
        <v>129</v>
      </c>
      <c r="B241" s="301" t="s">
        <v>138</v>
      </c>
      <c r="C241" s="449" t="s">
        <v>278</v>
      </c>
      <c r="D241" s="449"/>
      <c r="E241" s="449"/>
      <c r="F241" s="449"/>
      <c r="G241" s="449"/>
      <c r="H241" s="449"/>
      <c r="I241" s="449"/>
      <c r="J241" s="449"/>
      <c r="K241" s="449"/>
      <c r="L241" s="450"/>
    </row>
    <row r="242" spans="1:12" x14ac:dyDescent="0.25">
      <c r="A242" s="297"/>
      <c r="B242" s="298"/>
      <c r="C242" s="298" t="s">
        <v>403</v>
      </c>
      <c r="D242" s="298" t="s">
        <v>252</v>
      </c>
      <c r="E242" s="298"/>
      <c r="F242" s="298"/>
      <c r="G242" s="298"/>
      <c r="H242" s="298"/>
      <c r="I242" s="298"/>
      <c r="J242" s="298"/>
      <c r="K242" s="298"/>
      <c r="L242" s="299"/>
    </row>
    <row r="243" spans="1:12" x14ac:dyDescent="0.25">
      <c r="A243" s="297"/>
      <c r="B243" s="298" t="s">
        <v>462</v>
      </c>
      <c r="C243" s="298">
        <v>5.65</v>
      </c>
      <c r="D243" s="298">
        <v>2.6</v>
      </c>
      <c r="E243" s="298"/>
      <c r="F243" s="298"/>
      <c r="G243" s="298"/>
      <c r="H243" s="298"/>
      <c r="I243" s="298">
        <f>ROUND(C243*D243,2)</f>
        <v>14.69</v>
      </c>
      <c r="J243" s="298"/>
      <c r="K243" s="298"/>
      <c r="L243" s="299"/>
    </row>
    <row r="244" spans="1:12" x14ac:dyDescent="0.25">
      <c r="A244" s="297"/>
      <c r="B244" s="298" t="s">
        <v>463</v>
      </c>
      <c r="C244" s="298">
        <v>5.65</v>
      </c>
      <c r="D244" s="298">
        <v>2.6</v>
      </c>
      <c r="E244" s="298"/>
      <c r="F244" s="298"/>
      <c r="G244" s="298"/>
      <c r="H244" s="298"/>
      <c r="I244" s="298">
        <f t="shared" ref="I244:I246" si="20">ROUND(C244*D244,2)</f>
        <v>14.69</v>
      </c>
      <c r="J244" s="298"/>
      <c r="K244" s="298"/>
      <c r="L244" s="299"/>
    </row>
    <row r="245" spans="1:12" x14ac:dyDescent="0.25">
      <c r="A245" s="297"/>
      <c r="B245" s="298" t="s">
        <v>464</v>
      </c>
      <c r="C245" s="298">
        <v>3.7</v>
      </c>
      <c r="D245" s="298">
        <v>2.6</v>
      </c>
      <c r="E245" s="298"/>
      <c r="F245" s="298"/>
      <c r="G245" s="298"/>
      <c r="H245" s="298"/>
      <c r="I245" s="298">
        <f t="shared" si="20"/>
        <v>9.6199999999999992</v>
      </c>
      <c r="J245" s="298"/>
      <c r="K245" s="298"/>
      <c r="L245" s="299"/>
    </row>
    <row r="246" spans="1:12" x14ac:dyDescent="0.25">
      <c r="A246" s="297"/>
      <c r="B246" s="298" t="s">
        <v>465</v>
      </c>
      <c r="C246" s="298">
        <v>3.7</v>
      </c>
      <c r="D246" s="298">
        <v>2.6</v>
      </c>
      <c r="E246" s="298"/>
      <c r="F246" s="298"/>
      <c r="G246" s="298"/>
      <c r="H246" s="298"/>
      <c r="I246" s="298">
        <f t="shared" si="20"/>
        <v>9.6199999999999992</v>
      </c>
      <c r="J246" s="298"/>
      <c r="K246" s="298"/>
      <c r="L246" s="299"/>
    </row>
    <row r="247" spans="1:12" x14ac:dyDescent="0.25">
      <c r="A247" s="297"/>
      <c r="B247" s="298"/>
      <c r="C247" s="298"/>
      <c r="D247" s="298"/>
      <c r="E247" s="298"/>
      <c r="F247" s="298"/>
      <c r="G247" s="298"/>
      <c r="H247" s="298"/>
      <c r="I247" s="298"/>
      <c r="J247" s="298"/>
      <c r="K247" s="298"/>
      <c r="L247" s="299"/>
    </row>
    <row r="248" spans="1:12" x14ac:dyDescent="0.25">
      <c r="A248" s="297"/>
      <c r="B248" s="301" t="s">
        <v>409</v>
      </c>
      <c r="C248" s="301"/>
      <c r="D248" s="301"/>
      <c r="E248" s="301"/>
      <c r="F248" s="301"/>
      <c r="G248" s="301"/>
      <c r="H248" s="301"/>
      <c r="I248" s="301">
        <f>ROUND(SUM(I243:I246),2)</f>
        <v>48.62</v>
      </c>
      <c r="J248" s="298"/>
      <c r="K248" s="298"/>
      <c r="L248" s="299"/>
    </row>
    <row r="249" spans="1:12" x14ac:dyDescent="0.25">
      <c r="A249" s="297"/>
      <c r="B249" s="298"/>
      <c r="C249" s="298"/>
      <c r="D249" s="298"/>
      <c r="E249" s="298"/>
      <c r="F249" s="298"/>
      <c r="G249" s="298"/>
      <c r="H249" s="298"/>
      <c r="I249" s="298"/>
      <c r="J249" s="298"/>
      <c r="K249" s="298"/>
      <c r="L249" s="299"/>
    </row>
    <row r="250" spans="1:12" x14ac:dyDescent="0.25">
      <c r="A250" s="300" t="s">
        <v>385</v>
      </c>
      <c r="B250" s="301" t="s">
        <v>472</v>
      </c>
      <c r="C250" s="451" t="str">
        <f>'PLANILHA DEPÓSITO'!C40</f>
        <v>APLICAÇÃO DE FUNDO SELADOR ACRÍLICO EM TETO, UMA DEMÃO. AF_06/2014</v>
      </c>
      <c r="D250" s="451"/>
      <c r="E250" s="451"/>
      <c r="F250" s="451"/>
      <c r="G250" s="451"/>
      <c r="H250" s="451"/>
      <c r="I250" s="451"/>
      <c r="J250" s="451"/>
      <c r="K250" s="451"/>
      <c r="L250" s="452"/>
    </row>
    <row r="251" spans="1:12" x14ac:dyDescent="0.25">
      <c r="A251" s="297"/>
      <c r="B251" s="298"/>
      <c r="C251" s="298" t="s">
        <v>408</v>
      </c>
      <c r="D251" s="298" t="s">
        <v>251</v>
      </c>
      <c r="E251" s="298"/>
      <c r="F251" s="298"/>
      <c r="G251" s="298"/>
      <c r="H251" s="298"/>
      <c r="I251" s="298"/>
      <c r="J251" s="298"/>
      <c r="K251" s="298"/>
      <c r="L251" s="299"/>
    </row>
    <row r="252" spans="1:12" x14ac:dyDescent="0.25">
      <c r="A252" s="297"/>
      <c r="B252" s="298" t="s">
        <v>453</v>
      </c>
      <c r="C252" s="298">
        <v>5.65</v>
      </c>
      <c r="D252" s="298">
        <v>3.7</v>
      </c>
      <c r="E252" s="298"/>
      <c r="F252" s="298"/>
      <c r="G252" s="298"/>
      <c r="H252" s="298"/>
      <c r="I252" s="298">
        <f t="shared" ref="I252:I253" si="21">ROUND(C252*D252,2)</f>
        <v>20.91</v>
      </c>
      <c r="J252" s="298"/>
      <c r="K252" s="298"/>
      <c r="L252" s="299"/>
    </row>
    <row r="253" spans="1:12" x14ac:dyDescent="0.25">
      <c r="A253" s="297"/>
      <c r="B253" s="298" t="s">
        <v>474</v>
      </c>
      <c r="C253" s="298">
        <v>0.4</v>
      </c>
      <c r="D253" s="298">
        <v>3.7</v>
      </c>
      <c r="E253" s="298"/>
      <c r="F253" s="298"/>
      <c r="G253" s="298"/>
      <c r="H253" s="298"/>
      <c r="I253" s="298">
        <f t="shared" si="21"/>
        <v>1.48</v>
      </c>
      <c r="J253" s="298"/>
      <c r="K253" s="298"/>
      <c r="L253" s="299"/>
    </row>
    <row r="254" spans="1:12" x14ac:dyDescent="0.25">
      <c r="A254" s="297"/>
      <c r="B254" s="298"/>
      <c r="C254" s="298"/>
      <c r="D254" s="298"/>
      <c r="E254" s="298"/>
      <c r="F254" s="298"/>
      <c r="G254" s="298"/>
      <c r="H254" s="298"/>
      <c r="I254" s="298"/>
      <c r="J254" s="298"/>
      <c r="K254" s="298"/>
      <c r="L254" s="299"/>
    </row>
    <row r="255" spans="1:12" x14ac:dyDescent="0.25">
      <c r="A255" s="297"/>
      <c r="B255" s="301" t="s">
        <v>409</v>
      </c>
      <c r="C255" s="301"/>
      <c r="D255" s="301"/>
      <c r="E255" s="301"/>
      <c r="F255" s="301"/>
      <c r="G255" s="301"/>
      <c r="H255" s="301"/>
      <c r="I255" s="301">
        <f>ROUND(SUM(I252:I253),2)</f>
        <v>22.39</v>
      </c>
      <c r="J255" s="298"/>
      <c r="K255" s="298"/>
      <c r="L255" s="299"/>
    </row>
    <row r="256" spans="1:12" x14ac:dyDescent="0.25">
      <c r="A256" s="297"/>
      <c r="B256" s="298"/>
      <c r="C256" s="298"/>
      <c r="D256" s="298"/>
      <c r="E256" s="298"/>
      <c r="F256" s="298"/>
      <c r="G256" s="298"/>
      <c r="H256" s="298"/>
      <c r="I256" s="298"/>
      <c r="J256" s="298"/>
      <c r="K256" s="298"/>
      <c r="L256" s="299"/>
    </row>
    <row r="257" spans="1:12" x14ac:dyDescent="0.25">
      <c r="A257" s="300" t="s">
        <v>386</v>
      </c>
      <c r="B257" s="301" t="str">
        <f>'PLANILHA DEPÓSITO'!B41</f>
        <v>88497/SINAPI</v>
      </c>
      <c r="C257" s="451" t="str">
        <f>'PLANILHA DEPÓSITO'!C41</f>
        <v>APLICAÇÃO E LIXAMENTO DE MASSA LÁTEX EM PAREDES, DUAS DEMÃOS. AF_06/2014</v>
      </c>
      <c r="D257" s="451"/>
      <c r="E257" s="451"/>
      <c r="F257" s="451"/>
      <c r="G257" s="451"/>
      <c r="H257" s="451"/>
      <c r="I257" s="451"/>
      <c r="J257" s="451"/>
      <c r="K257" s="451"/>
      <c r="L257" s="452"/>
    </row>
    <row r="258" spans="1:12" x14ac:dyDescent="0.25">
      <c r="A258" s="297"/>
      <c r="B258" s="298"/>
      <c r="C258" s="298" t="s">
        <v>403</v>
      </c>
      <c r="D258" s="298" t="s">
        <v>252</v>
      </c>
      <c r="E258" s="298"/>
      <c r="F258" s="298"/>
      <c r="G258" s="298"/>
      <c r="H258" s="298"/>
      <c r="I258" s="298"/>
      <c r="J258" s="298"/>
      <c r="K258" s="298"/>
      <c r="L258" s="299"/>
    </row>
    <row r="259" spans="1:12" x14ac:dyDescent="0.25">
      <c r="A259" s="297"/>
      <c r="B259" s="298" t="s">
        <v>462</v>
      </c>
      <c r="C259" s="298">
        <v>5.65</v>
      </c>
      <c r="D259" s="298">
        <v>2.6</v>
      </c>
      <c r="E259" s="298"/>
      <c r="F259" s="298"/>
      <c r="G259" s="298"/>
      <c r="H259" s="298"/>
      <c r="I259" s="298">
        <f>ROUND(C259*D259,2)</f>
        <v>14.69</v>
      </c>
      <c r="J259" s="298"/>
      <c r="K259" s="298"/>
      <c r="L259" s="299"/>
    </row>
    <row r="260" spans="1:12" x14ac:dyDescent="0.25">
      <c r="A260" s="297"/>
      <c r="B260" s="298" t="s">
        <v>463</v>
      </c>
      <c r="C260" s="298">
        <v>5.65</v>
      </c>
      <c r="D260" s="298">
        <v>2.6</v>
      </c>
      <c r="E260" s="298"/>
      <c r="F260" s="298"/>
      <c r="G260" s="298"/>
      <c r="H260" s="298"/>
      <c r="I260" s="298">
        <f t="shared" ref="I260:I262" si="22">ROUND(C260*D260,2)</f>
        <v>14.69</v>
      </c>
      <c r="J260" s="298"/>
      <c r="K260" s="298"/>
      <c r="L260" s="299"/>
    </row>
    <row r="261" spans="1:12" x14ac:dyDescent="0.25">
      <c r="A261" s="297"/>
      <c r="B261" s="298" t="s">
        <v>464</v>
      </c>
      <c r="C261" s="298">
        <v>3.7</v>
      </c>
      <c r="D261" s="298">
        <v>2.6</v>
      </c>
      <c r="E261" s="298"/>
      <c r="F261" s="298"/>
      <c r="G261" s="298"/>
      <c r="H261" s="298"/>
      <c r="I261" s="298">
        <f t="shared" si="22"/>
        <v>9.6199999999999992</v>
      </c>
      <c r="J261" s="298"/>
      <c r="K261" s="298"/>
      <c r="L261" s="299"/>
    </row>
    <row r="262" spans="1:12" x14ac:dyDescent="0.25">
      <c r="A262" s="297"/>
      <c r="B262" s="298" t="s">
        <v>465</v>
      </c>
      <c r="C262" s="298">
        <v>3.7</v>
      </c>
      <c r="D262" s="298">
        <v>2.6</v>
      </c>
      <c r="E262" s="298"/>
      <c r="F262" s="298"/>
      <c r="G262" s="298"/>
      <c r="H262" s="298"/>
      <c r="I262" s="298">
        <f t="shared" si="22"/>
        <v>9.6199999999999992</v>
      </c>
      <c r="J262" s="298"/>
      <c r="K262" s="298"/>
      <c r="L262" s="299"/>
    </row>
    <row r="263" spans="1:12" x14ac:dyDescent="0.25">
      <c r="A263" s="297"/>
      <c r="B263" s="298"/>
      <c r="C263" s="298"/>
      <c r="D263" s="298"/>
      <c r="E263" s="298"/>
      <c r="F263" s="298"/>
      <c r="G263" s="298"/>
      <c r="H263" s="298"/>
      <c r="I263" s="298"/>
      <c r="J263" s="298"/>
      <c r="K263" s="298"/>
      <c r="L263" s="299"/>
    </row>
    <row r="264" spans="1:12" x14ac:dyDescent="0.25">
      <c r="A264" s="297"/>
      <c r="B264" s="301" t="s">
        <v>409</v>
      </c>
      <c r="C264" s="301"/>
      <c r="D264" s="301"/>
      <c r="E264" s="301"/>
      <c r="F264" s="301"/>
      <c r="G264" s="301"/>
      <c r="H264" s="301"/>
      <c r="I264" s="301">
        <f>ROUND(SUM(I259:I262),2)</f>
        <v>48.62</v>
      </c>
      <c r="J264" s="298"/>
      <c r="K264" s="298"/>
      <c r="L264" s="299"/>
    </row>
    <row r="265" spans="1:12" x14ac:dyDescent="0.25">
      <c r="A265" s="297"/>
      <c r="B265" s="298"/>
      <c r="C265" s="298"/>
      <c r="D265" s="298"/>
      <c r="E265" s="298"/>
      <c r="F265" s="298"/>
      <c r="G265" s="298"/>
      <c r="H265" s="298"/>
      <c r="I265" s="298"/>
      <c r="J265" s="298"/>
      <c r="K265" s="298"/>
      <c r="L265" s="299"/>
    </row>
    <row r="266" spans="1:12" x14ac:dyDescent="0.25">
      <c r="A266" s="300" t="s">
        <v>387</v>
      </c>
      <c r="B266" s="301" t="str">
        <f>'PLANILHA DEPÓSITO'!B42</f>
        <v>88496/SINAPI</v>
      </c>
      <c r="C266" s="451" t="str">
        <f>'PLANILHA DEPÓSITO'!C42</f>
        <v>APLICAÇÃO E LIXAMENTO DE MASSA LÁTEX EM TETO, DUAS DEMÃOS. AF_06/2014</v>
      </c>
      <c r="D266" s="451"/>
      <c r="E266" s="451"/>
      <c r="F266" s="451"/>
      <c r="G266" s="451"/>
      <c r="H266" s="451"/>
      <c r="I266" s="451"/>
      <c r="J266" s="451"/>
      <c r="K266" s="451"/>
      <c r="L266" s="452"/>
    </row>
    <row r="267" spans="1:12" x14ac:dyDescent="0.25">
      <c r="A267" s="297"/>
      <c r="B267" s="298"/>
      <c r="C267" s="298" t="s">
        <v>408</v>
      </c>
      <c r="D267" s="298" t="s">
        <v>251</v>
      </c>
      <c r="E267" s="298"/>
      <c r="F267" s="298"/>
      <c r="G267" s="298"/>
      <c r="H267" s="298"/>
      <c r="I267" s="298"/>
      <c r="J267" s="298"/>
      <c r="K267" s="298"/>
      <c r="L267" s="299"/>
    </row>
    <row r="268" spans="1:12" x14ac:dyDescent="0.25">
      <c r="A268" s="297"/>
      <c r="B268" s="298" t="s">
        <v>453</v>
      </c>
      <c r="C268" s="298">
        <v>5.65</v>
      </c>
      <c r="D268" s="298">
        <v>3.7</v>
      </c>
      <c r="E268" s="298"/>
      <c r="F268" s="298"/>
      <c r="G268" s="298"/>
      <c r="H268" s="298"/>
      <c r="I268" s="298">
        <f t="shared" ref="I268:I269" si="23">ROUND(C268*D268,2)</f>
        <v>20.91</v>
      </c>
      <c r="J268" s="298"/>
      <c r="K268" s="298"/>
      <c r="L268" s="299"/>
    </row>
    <row r="269" spans="1:12" x14ac:dyDescent="0.25">
      <c r="A269" s="297"/>
      <c r="B269" s="298" t="s">
        <v>474</v>
      </c>
      <c r="C269" s="298">
        <v>0.4</v>
      </c>
      <c r="D269" s="298">
        <v>3.7</v>
      </c>
      <c r="E269" s="298"/>
      <c r="F269" s="298"/>
      <c r="G269" s="298"/>
      <c r="H269" s="298"/>
      <c r="I269" s="298">
        <f t="shared" si="23"/>
        <v>1.48</v>
      </c>
      <c r="J269" s="298"/>
      <c r="K269" s="298"/>
      <c r="L269" s="299"/>
    </row>
    <row r="270" spans="1:12" x14ac:dyDescent="0.25">
      <c r="A270" s="297"/>
      <c r="B270" s="298"/>
      <c r="C270" s="298"/>
      <c r="D270" s="298"/>
      <c r="E270" s="298"/>
      <c r="F270" s="298"/>
      <c r="G270" s="298"/>
      <c r="H270" s="298"/>
      <c r="I270" s="298"/>
      <c r="J270" s="298"/>
      <c r="K270" s="298"/>
      <c r="L270" s="299"/>
    </row>
    <row r="271" spans="1:12" x14ac:dyDescent="0.25">
      <c r="A271" s="297"/>
      <c r="B271" s="301" t="s">
        <v>409</v>
      </c>
      <c r="C271" s="301"/>
      <c r="D271" s="301"/>
      <c r="E271" s="301"/>
      <c r="F271" s="301"/>
      <c r="G271" s="301"/>
      <c r="H271" s="301"/>
      <c r="I271" s="301">
        <f>ROUND(SUM(I268:I269),2)</f>
        <v>22.39</v>
      </c>
      <c r="J271" s="298"/>
      <c r="K271" s="298"/>
      <c r="L271" s="299"/>
    </row>
    <row r="272" spans="1:12" x14ac:dyDescent="0.25">
      <c r="A272" s="297"/>
      <c r="B272" s="298"/>
      <c r="C272" s="298"/>
      <c r="D272" s="298"/>
      <c r="E272" s="298"/>
      <c r="F272" s="298"/>
      <c r="G272" s="298"/>
      <c r="H272" s="298"/>
      <c r="I272" s="298"/>
      <c r="J272" s="298"/>
      <c r="K272" s="298"/>
      <c r="L272" s="299"/>
    </row>
    <row r="273" spans="1:12" ht="29.25" customHeight="1" x14ac:dyDescent="0.25">
      <c r="A273" s="300" t="s">
        <v>388</v>
      </c>
      <c r="B273" s="301" t="str">
        <f>'PLANILHA DEPÓSITO'!B43</f>
        <v>88489/SINAPI</v>
      </c>
      <c r="C273" s="456" t="str">
        <f>'PLANILHA DEPÓSITO'!C43</f>
        <v>APLICAÇÃO MANUAL DE PINTURA COM TINTA LÁTEX ACRÍLICA EM PAREDES, DUAS DEMÃOS. AF_06/2014</v>
      </c>
      <c r="D273" s="456"/>
      <c r="E273" s="456"/>
      <c r="F273" s="456"/>
      <c r="G273" s="456"/>
      <c r="H273" s="456"/>
      <c r="I273" s="456"/>
      <c r="J273" s="456"/>
      <c r="K273" s="456"/>
      <c r="L273" s="457"/>
    </row>
    <row r="274" spans="1:12" x14ac:dyDescent="0.25">
      <c r="A274" s="297"/>
      <c r="B274" s="298"/>
      <c r="C274" s="298" t="s">
        <v>403</v>
      </c>
      <c r="D274" s="298" t="s">
        <v>252</v>
      </c>
      <c r="E274" s="298"/>
      <c r="F274" s="298"/>
      <c r="G274" s="298"/>
      <c r="H274" s="298"/>
      <c r="I274" s="298"/>
      <c r="J274" s="298"/>
      <c r="K274" s="298"/>
      <c r="L274" s="299"/>
    </row>
    <row r="275" spans="1:12" x14ac:dyDescent="0.25">
      <c r="A275" s="297"/>
      <c r="B275" s="298" t="s">
        <v>462</v>
      </c>
      <c r="C275" s="298">
        <v>5.65</v>
      </c>
      <c r="D275" s="298">
        <v>2.6</v>
      </c>
      <c r="E275" s="298"/>
      <c r="F275" s="298"/>
      <c r="G275" s="298"/>
      <c r="H275" s="298"/>
      <c r="I275" s="298">
        <f>ROUND(C275*D275,2)</f>
        <v>14.69</v>
      </c>
      <c r="J275" s="298"/>
      <c r="K275" s="298"/>
      <c r="L275" s="299"/>
    </row>
    <row r="276" spans="1:12" x14ac:dyDescent="0.25">
      <c r="A276" s="297"/>
      <c r="B276" s="298" t="s">
        <v>463</v>
      </c>
      <c r="C276" s="298">
        <v>5.65</v>
      </c>
      <c r="D276" s="298">
        <v>2.6</v>
      </c>
      <c r="E276" s="298"/>
      <c r="F276" s="298"/>
      <c r="G276" s="298"/>
      <c r="H276" s="298"/>
      <c r="I276" s="298">
        <f t="shared" ref="I276:I278" si="24">ROUND(C276*D276,2)</f>
        <v>14.69</v>
      </c>
      <c r="J276" s="298"/>
      <c r="K276" s="298"/>
      <c r="L276" s="299"/>
    </row>
    <row r="277" spans="1:12" x14ac:dyDescent="0.25">
      <c r="A277" s="297"/>
      <c r="B277" s="298" t="s">
        <v>464</v>
      </c>
      <c r="C277" s="298">
        <v>3.7</v>
      </c>
      <c r="D277" s="298">
        <v>2.6</v>
      </c>
      <c r="E277" s="298"/>
      <c r="F277" s="298"/>
      <c r="G277" s="298"/>
      <c r="H277" s="298"/>
      <c r="I277" s="298">
        <f t="shared" si="24"/>
        <v>9.6199999999999992</v>
      </c>
      <c r="J277" s="298"/>
      <c r="K277" s="298"/>
      <c r="L277" s="299"/>
    </row>
    <row r="278" spans="1:12" x14ac:dyDescent="0.25">
      <c r="A278" s="297"/>
      <c r="B278" s="298" t="s">
        <v>465</v>
      </c>
      <c r="C278" s="298">
        <v>3.7</v>
      </c>
      <c r="D278" s="298">
        <v>2.6</v>
      </c>
      <c r="E278" s="298"/>
      <c r="F278" s="298"/>
      <c r="G278" s="298"/>
      <c r="H278" s="298"/>
      <c r="I278" s="298">
        <f t="shared" si="24"/>
        <v>9.6199999999999992</v>
      </c>
      <c r="J278" s="298"/>
      <c r="K278" s="298"/>
      <c r="L278" s="299"/>
    </row>
    <row r="279" spans="1:12" x14ac:dyDescent="0.25">
      <c r="A279" s="297"/>
      <c r="B279" s="298"/>
      <c r="C279" s="298"/>
      <c r="D279" s="298"/>
      <c r="E279" s="298"/>
      <c r="F279" s="298"/>
      <c r="G279" s="298"/>
      <c r="H279" s="298"/>
      <c r="I279" s="298"/>
      <c r="J279" s="298"/>
      <c r="K279" s="298"/>
      <c r="L279" s="299"/>
    </row>
    <row r="280" spans="1:12" x14ac:dyDescent="0.25">
      <c r="A280" s="297"/>
      <c r="B280" s="301" t="s">
        <v>409</v>
      </c>
      <c r="C280" s="301"/>
      <c r="D280" s="301"/>
      <c r="E280" s="301"/>
      <c r="F280" s="301"/>
      <c r="G280" s="301"/>
      <c r="H280" s="301"/>
      <c r="I280" s="301">
        <f>ROUND(SUM(I275:I278),2)</f>
        <v>48.62</v>
      </c>
      <c r="J280" s="298"/>
      <c r="K280" s="298"/>
      <c r="L280" s="299"/>
    </row>
    <row r="281" spans="1:12" x14ac:dyDescent="0.25">
      <c r="A281" s="297"/>
      <c r="B281" s="298"/>
      <c r="C281" s="298"/>
      <c r="D281" s="298"/>
      <c r="E281" s="298"/>
      <c r="F281" s="298"/>
      <c r="G281" s="298"/>
      <c r="H281" s="298"/>
      <c r="I281" s="298"/>
      <c r="J281" s="298"/>
      <c r="K281" s="298"/>
      <c r="L281" s="299"/>
    </row>
    <row r="282" spans="1:12" x14ac:dyDescent="0.25">
      <c r="A282" s="300" t="s">
        <v>389</v>
      </c>
      <c r="B282" s="301" t="str">
        <f>'PLANILHA DEPÓSITO'!B44</f>
        <v>88488/SINAPI</v>
      </c>
      <c r="C282" s="451" t="str">
        <f>'PLANILHA DEPÓSITO'!C44</f>
        <v>APLICAÇÃO MANUAL DE PINTURA COM TINTA LÁTEX ACRÍLICA EM TETO, DUAS DEMÃOS. AF_06/2014</v>
      </c>
      <c r="D282" s="451"/>
      <c r="E282" s="451"/>
      <c r="F282" s="451"/>
      <c r="G282" s="451"/>
      <c r="H282" s="451"/>
      <c r="I282" s="451"/>
      <c r="J282" s="451"/>
      <c r="K282" s="451"/>
      <c r="L282" s="452"/>
    </row>
    <row r="283" spans="1:12" x14ac:dyDescent="0.25">
      <c r="A283" s="297"/>
      <c r="B283" s="298"/>
      <c r="C283" s="298" t="s">
        <v>408</v>
      </c>
      <c r="D283" s="298" t="s">
        <v>251</v>
      </c>
      <c r="E283" s="298"/>
      <c r="F283" s="298"/>
      <c r="G283" s="298"/>
      <c r="H283" s="298"/>
      <c r="I283" s="298"/>
      <c r="J283" s="298"/>
      <c r="K283" s="298"/>
      <c r="L283" s="299"/>
    </row>
    <row r="284" spans="1:12" x14ac:dyDescent="0.25">
      <c r="A284" s="297"/>
      <c r="B284" s="298" t="s">
        <v>453</v>
      </c>
      <c r="C284" s="298">
        <v>5.65</v>
      </c>
      <c r="D284" s="298">
        <v>3.7</v>
      </c>
      <c r="E284" s="298"/>
      <c r="F284" s="298"/>
      <c r="G284" s="298"/>
      <c r="H284" s="298"/>
      <c r="I284" s="298">
        <f t="shared" ref="I284:I285" si="25">ROUND(C284*D284,2)</f>
        <v>20.91</v>
      </c>
      <c r="J284" s="298"/>
      <c r="K284" s="298"/>
      <c r="L284" s="299"/>
    </row>
    <row r="285" spans="1:12" x14ac:dyDescent="0.25">
      <c r="A285" s="297"/>
      <c r="B285" s="298" t="s">
        <v>474</v>
      </c>
      <c r="C285" s="298">
        <v>0.4</v>
      </c>
      <c r="D285" s="298">
        <v>3.7</v>
      </c>
      <c r="E285" s="298"/>
      <c r="F285" s="298"/>
      <c r="G285" s="298"/>
      <c r="H285" s="298"/>
      <c r="I285" s="298">
        <f t="shared" si="25"/>
        <v>1.48</v>
      </c>
      <c r="J285" s="298"/>
      <c r="K285" s="298"/>
      <c r="L285" s="299"/>
    </row>
    <row r="286" spans="1:12" x14ac:dyDescent="0.25">
      <c r="A286" s="297"/>
      <c r="B286" s="298"/>
      <c r="C286" s="298"/>
      <c r="D286" s="298"/>
      <c r="E286" s="298"/>
      <c r="F286" s="298"/>
      <c r="G286" s="298"/>
      <c r="H286" s="298"/>
      <c r="I286" s="298"/>
      <c r="J286" s="298"/>
      <c r="K286" s="298"/>
      <c r="L286" s="299"/>
    </row>
    <row r="287" spans="1:12" x14ac:dyDescent="0.25">
      <c r="A287" s="297"/>
      <c r="B287" s="301" t="s">
        <v>409</v>
      </c>
      <c r="C287" s="301"/>
      <c r="D287" s="301"/>
      <c r="E287" s="301"/>
      <c r="F287" s="301"/>
      <c r="G287" s="301"/>
      <c r="H287" s="301"/>
      <c r="I287" s="301">
        <f>ROUND(SUM(I284:I285),2)</f>
        <v>22.39</v>
      </c>
      <c r="J287" s="298"/>
      <c r="K287" s="298"/>
      <c r="L287" s="299"/>
    </row>
    <row r="288" spans="1:12" x14ac:dyDescent="0.25">
      <c r="A288" s="297"/>
      <c r="B288" s="298"/>
      <c r="C288" s="298"/>
      <c r="D288" s="298"/>
      <c r="E288" s="298"/>
      <c r="F288" s="298"/>
      <c r="G288" s="298"/>
      <c r="H288" s="298"/>
      <c r="I288" s="298"/>
      <c r="J288" s="298"/>
      <c r="K288" s="298"/>
      <c r="L288" s="299"/>
    </row>
    <row r="289" spans="1:12" x14ac:dyDescent="0.25">
      <c r="A289" s="300" t="s">
        <v>390</v>
      </c>
      <c r="B289" s="301" t="str">
        <f>'PLANILHA DEPÓSITO'!B45</f>
        <v>73739/001 / SINAPI</v>
      </c>
      <c r="C289" s="451" t="str">
        <f>'PLANILHA DEPÓSITO'!C45</f>
        <v>PINTURA ESMALTE ACETINADO EM MADEIRA, DUAS DEMAOS</v>
      </c>
      <c r="D289" s="451"/>
      <c r="E289" s="451"/>
      <c r="F289" s="451"/>
      <c r="G289" s="451"/>
      <c r="H289" s="451"/>
      <c r="I289" s="451"/>
      <c r="J289" s="451"/>
      <c r="K289" s="451"/>
      <c r="L289" s="452"/>
    </row>
    <row r="290" spans="1:12" x14ac:dyDescent="0.25">
      <c r="A290" s="297"/>
      <c r="B290" s="298"/>
      <c r="C290" s="298" t="s">
        <v>252</v>
      </c>
      <c r="D290" s="298" t="s">
        <v>251</v>
      </c>
      <c r="E290" s="298" t="s">
        <v>268</v>
      </c>
      <c r="F290" s="298"/>
      <c r="G290" s="298"/>
      <c r="H290" s="298"/>
      <c r="I290" s="298"/>
      <c r="J290" s="298"/>
      <c r="K290" s="298"/>
      <c r="L290" s="299"/>
    </row>
    <row r="291" spans="1:12" x14ac:dyDescent="0.25">
      <c r="A291" s="297"/>
      <c r="B291" s="298" t="s">
        <v>479</v>
      </c>
      <c r="C291" s="298">
        <v>2.1</v>
      </c>
      <c r="D291" s="298">
        <v>0.9</v>
      </c>
      <c r="E291" s="298">
        <v>2</v>
      </c>
      <c r="F291" s="298"/>
      <c r="G291" s="298"/>
      <c r="H291" s="298"/>
      <c r="I291" s="298">
        <f>ROUND(C291*D291*E291,2)</f>
        <v>3.78</v>
      </c>
      <c r="J291" s="298"/>
      <c r="K291" s="298"/>
      <c r="L291" s="299"/>
    </row>
    <row r="292" spans="1:12" x14ac:dyDescent="0.25">
      <c r="A292" s="297"/>
      <c r="B292" s="298"/>
      <c r="C292" s="298">
        <v>5.0999999999999996</v>
      </c>
      <c r="D292" s="298">
        <v>0.15</v>
      </c>
      <c r="E292" s="298">
        <v>1</v>
      </c>
      <c r="F292" s="298"/>
      <c r="G292" s="298"/>
      <c r="H292" s="298"/>
      <c r="I292" s="298">
        <f>ROUND(C292*D292*E292,2)</f>
        <v>0.77</v>
      </c>
      <c r="J292" s="298"/>
      <c r="K292" s="298"/>
      <c r="L292" s="299"/>
    </row>
    <row r="293" spans="1:12" x14ac:dyDescent="0.25">
      <c r="A293" s="297"/>
      <c r="B293" s="298"/>
      <c r="C293" s="298"/>
      <c r="D293" s="298"/>
      <c r="E293" s="298"/>
      <c r="F293" s="298"/>
      <c r="G293" s="298"/>
      <c r="H293" s="298"/>
      <c r="I293" s="298"/>
      <c r="J293" s="298"/>
      <c r="K293" s="298"/>
      <c r="L293" s="299"/>
    </row>
    <row r="294" spans="1:12" x14ac:dyDescent="0.25">
      <c r="A294" s="297"/>
      <c r="B294" s="301" t="s">
        <v>409</v>
      </c>
      <c r="C294" s="301"/>
      <c r="D294" s="301"/>
      <c r="E294" s="301"/>
      <c r="F294" s="301"/>
      <c r="G294" s="301"/>
      <c r="H294" s="301"/>
      <c r="I294" s="301">
        <f>ROUND(SUM(I291:I292),2)</f>
        <v>4.55</v>
      </c>
      <c r="J294" s="298"/>
      <c r="K294" s="298"/>
      <c r="L294" s="299"/>
    </row>
    <row r="295" spans="1:12" x14ac:dyDescent="0.25">
      <c r="A295" s="297"/>
      <c r="B295" s="298"/>
      <c r="C295" s="298"/>
      <c r="D295" s="298"/>
      <c r="E295" s="298"/>
      <c r="F295" s="298"/>
      <c r="G295" s="298"/>
      <c r="H295" s="298"/>
      <c r="I295" s="298"/>
      <c r="J295" s="298"/>
      <c r="K295" s="298"/>
      <c r="L295" s="299"/>
    </row>
    <row r="296" spans="1:12" ht="36" customHeight="1" x14ac:dyDescent="0.25">
      <c r="A296" s="300" t="s">
        <v>391</v>
      </c>
      <c r="B296" s="301" t="str">
        <f>'PLANILHA DEPÓSITO'!B46</f>
        <v>07695/ORSE</v>
      </c>
      <c r="C296" s="441" t="str">
        <f>'PLANILHA DEPÓSITO'!C46</f>
        <v>Pintura de Gradil Metálico, confeccionado com barras chata 1 1/4" x 3/16", em módulos 16x16cm, ou tijolinho 20x10cm, com 01 demão de tinta anti-corrosiva - zarcão e 02 demãos de esmalte sintético (medir somente uma vez)</v>
      </c>
      <c r="D296" s="441"/>
      <c r="E296" s="441"/>
      <c r="F296" s="441"/>
      <c r="G296" s="441"/>
      <c r="H296" s="441"/>
      <c r="I296" s="441"/>
      <c r="J296" s="441"/>
      <c r="K296" s="441"/>
      <c r="L296" s="442"/>
    </row>
    <row r="297" spans="1:12" x14ac:dyDescent="0.25">
      <c r="A297" s="297"/>
      <c r="B297" s="298"/>
      <c r="C297" s="298" t="s">
        <v>252</v>
      </c>
      <c r="D297" s="298" t="s">
        <v>251</v>
      </c>
      <c r="E297" s="298" t="s">
        <v>268</v>
      </c>
      <c r="F297" s="298"/>
      <c r="G297" s="298"/>
      <c r="H297" s="298"/>
      <c r="I297" s="298"/>
      <c r="J297" s="298"/>
      <c r="K297" s="298"/>
      <c r="L297" s="299"/>
    </row>
    <row r="298" spans="1:12" x14ac:dyDescent="0.25">
      <c r="A298" s="297"/>
      <c r="B298" s="298" t="s">
        <v>479</v>
      </c>
      <c r="C298" s="298">
        <v>2.1</v>
      </c>
      <c r="D298" s="298">
        <v>0.9</v>
      </c>
      <c r="E298" s="298">
        <v>2</v>
      </c>
      <c r="F298" s="298"/>
      <c r="G298" s="298"/>
      <c r="H298" s="298"/>
      <c r="I298" s="298">
        <f>ROUND(C298*D298*E298,2)</f>
        <v>3.78</v>
      </c>
      <c r="J298" s="298"/>
      <c r="K298" s="298"/>
      <c r="L298" s="299"/>
    </row>
    <row r="299" spans="1:12" s="100" customFormat="1" x14ac:dyDescent="0.25">
      <c r="A299" s="297"/>
      <c r="B299" s="298" t="s">
        <v>480</v>
      </c>
      <c r="C299" s="298">
        <v>0.3</v>
      </c>
      <c r="D299" s="298">
        <v>1.8</v>
      </c>
      <c r="E299" s="298">
        <v>2</v>
      </c>
      <c r="F299" s="298"/>
      <c r="G299" s="298"/>
      <c r="H299" s="298"/>
      <c r="I299" s="298">
        <f t="shared" ref="I299:I300" si="26">ROUND(C299*D299*E299,2)</f>
        <v>1.08</v>
      </c>
      <c r="J299" s="298"/>
      <c r="K299" s="298"/>
      <c r="L299" s="299"/>
    </row>
    <row r="300" spans="1:12" x14ac:dyDescent="0.25">
      <c r="A300" s="297"/>
      <c r="B300" s="298" t="s">
        <v>481</v>
      </c>
      <c r="C300" s="298">
        <v>0.3</v>
      </c>
      <c r="D300" s="298">
        <v>1.8</v>
      </c>
      <c r="E300" s="298">
        <v>2</v>
      </c>
      <c r="F300" s="298"/>
      <c r="G300" s="298"/>
      <c r="H300" s="298"/>
      <c r="I300" s="298">
        <f t="shared" si="26"/>
        <v>1.08</v>
      </c>
      <c r="J300" s="298"/>
      <c r="K300" s="298"/>
      <c r="L300" s="299"/>
    </row>
    <row r="301" spans="1:12" s="100" customFormat="1" x14ac:dyDescent="0.25">
      <c r="A301" s="297"/>
      <c r="B301" s="298"/>
      <c r="C301" s="298"/>
      <c r="D301" s="298"/>
      <c r="E301" s="298"/>
      <c r="F301" s="298"/>
      <c r="G301" s="298"/>
      <c r="H301" s="298"/>
      <c r="I301" s="298"/>
      <c r="J301" s="298"/>
      <c r="K301" s="298"/>
      <c r="L301" s="299"/>
    </row>
    <row r="302" spans="1:12" x14ac:dyDescent="0.25">
      <c r="A302" s="297"/>
      <c r="B302" s="301" t="s">
        <v>409</v>
      </c>
      <c r="C302" s="301"/>
      <c r="D302" s="301"/>
      <c r="E302" s="301"/>
      <c r="F302" s="301"/>
      <c r="G302" s="301"/>
      <c r="H302" s="301"/>
      <c r="I302" s="301">
        <f>ROUND(SUM(I298:I300),2)</f>
        <v>5.94</v>
      </c>
      <c r="J302" s="298"/>
      <c r="K302" s="298"/>
      <c r="L302" s="299"/>
    </row>
    <row r="303" spans="1:12" ht="15.75" thickBot="1" x14ac:dyDescent="0.3">
      <c r="A303" s="305"/>
      <c r="B303" s="307"/>
      <c r="C303" s="307"/>
      <c r="D303" s="307"/>
      <c r="E303" s="307"/>
      <c r="F303" s="307"/>
      <c r="G303" s="307"/>
      <c r="H303" s="307"/>
      <c r="I303" s="307"/>
      <c r="J303" s="307"/>
      <c r="K303" s="307"/>
      <c r="L303" s="308"/>
    </row>
    <row r="304" spans="1:12" ht="15.75" thickBot="1" x14ac:dyDescent="0.3">
      <c r="A304" s="311" t="s">
        <v>133</v>
      </c>
      <c r="B304" s="312" t="str">
        <f>'PLANILHA DEPÓSITO'!C47</f>
        <v>PISO</v>
      </c>
      <c r="C304" s="313"/>
      <c r="D304" s="313"/>
      <c r="E304" s="313"/>
      <c r="F304" s="313"/>
      <c r="G304" s="313"/>
      <c r="H304" s="313"/>
      <c r="I304" s="313"/>
      <c r="J304" s="313"/>
      <c r="K304" s="313"/>
      <c r="L304" s="314"/>
    </row>
    <row r="305" spans="1:12" ht="30.75" customHeight="1" x14ac:dyDescent="0.25">
      <c r="A305" s="300" t="s">
        <v>134</v>
      </c>
      <c r="B305" s="303" t="str">
        <f>'PLANILHA DEPÓSITO'!B48</f>
        <v>96619/SINAPI</v>
      </c>
      <c r="C305" s="456" t="str">
        <f>'PLANILHA DEPÓSITO'!C48</f>
        <v>LASTRO DE CONCRETO MAGRO, APLICADO EM BLOCOS DE COROAMENTO OU SAPATAS, ESPESSURA DE 5 CM. AF_08/2017</v>
      </c>
      <c r="D305" s="456"/>
      <c r="E305" s="456"/>
      <c r="F305" s="456"/>
      <c r="G305" s="456"/>
      <c r="H305" s="456"/>
      <c r="I305" s="456"/>
      <c r="J305" s="456"/>
      <c r="K305" s="456"/>
      <c r="L305" s="457"/>
    </row>
    <row r="306" spans="1:12" x14ac:dyDescent="0.25">
      <c r="A306" s="297"/>
      <c r="B306" s="298"/>
      <c r="C306" s="298" t="s">
        <v>403</v>
      </c>
      <c r="D306" s="298" t="s">
        <v>251</v>
      </c>
      <c r="E306" s="298"/>
      <c r="F306" s="298"/>
      <c r="G306" s="298"/>
      <c r="H306" s="298"/>
      <c r="I306" s="298"/>
      <c r="J306" s="298"/>
      <c r="K306" s="298"/>
      <c r="L306" s="299"/>
    </row>
    <row r="307" spans="1:12" x14ac:dyDescent="0.25">
      <c r="A307" s="297"/>
      <c r="B307" s="298" t="s">
        <v>493</v>
      </c>
      <c r="C307" s="298">
        <v>5.65</v>
      </c>
      <c r="D307" s="298">
        <v>3.7</v>
      </c>
      <c r="E307" s="298"/>
      <c r="F307" s="298"/>
      <c r="G307" s="298"/>
      <c r="H307" s="298"/>
      <c r="I307" s="298">
        <f>ROUND(C307*D307,2)</f>
        <v>20.91</v>
      </c>
      <c r="J307" s="298"/>
      <c r="K307" s="298"/>
      <c r="L307" s="299"/>
    </row>
    <row r="308" spans="1:12" x14ac:dyDescent="0.25">
      <c r="A308" s="297"/>
      <c r="B308" s="298" t="s">
        <v>494</v>
      </c>
      <c r="C308" s="298">
        <v>4.4000000000000004</v>
      </c>
      <c r="D308" s="298">
        <v>1.6</v>
      </c>
      <c r="E308" s="298"/>
      <c r="F308" s="298"/>
      <c r="G308" s="298"/>
      <c r="H308" s="298"/>
      <c r="I308" s="298">
        <f t="shared" ref="I308:I310" si="27">ROUND(C308*D308,2)</f>
        <v>7.04</v>
      </c>
      <c r="J308" s="298"/>
      <c r="K308" s="298"/>
      <c r="L308" s="299"/>
    </row>
    <row r="309" spans="1:12" s="100" customFormat="1" x14ac:dyDescent="0.25">
      <c r="A309" s="297"/>
      <c r="B309" s="298" t="s">
        <v>495</v>
      </c>
      <c r="C309" s="298">
        <v>6</v>
      </c>
      <c r="D309" s="298">
        <v>1.2</v>
      </c>
      <c r="E309" s="298"/>
      <c r="F309" s="298"/>
      <c r="G309" s="298"/>
      <c r="H309" s="298"/>
      <c r="I309" s="304">
        <f t="shared" si="27"/>
        <v>7.2</v>
      </c>
      <c r="J309" s="298"/>
      <c r="K309" s="298"/>
      <c r="L309" s="299"/>
    </row>
    <row r="310" spans="1:12" s="100" customFormat="1" x14ac:dyDescent="0.25">
      <c r="A310" s="297"/>
      <c r="B310" s="298" t="s">
        <v>496</v>
      </c>
      <c r="C310" s="298">
        <v>4.4000000000000004</v>
      </c>
      <c r="D310" s="298">
        <v>0.9</v>
      </c>
      <c r="E310" s="298"/>
      <c r="F310" s="298"/>
      <c r="G310" s="298"/>
      <c r="H310" s="298"/>
      <c r="I310" s="298">
        <f t="shared" si="27"/>
        <v>3.96</v>
      </c>
      <c r="J310" s="298"/>
      <c r="K310" s="298"/>
      <c r="L310" s="299"/>
    </row>
    <row r="311" spans="1:12" s="100" customFormat="1" x14ac:dyDescent="0.25">
      <c r="A311" s="297"/>
      <c r="B311" s="298"/>
      <c r="C311" s="298"/>
      <c r="D311" s="298"/>
      <c r="E311" s="298"/>
      <c r="F311" s="298"/>
      <c r="G311" s="298"/>
      <c r="H311" s="298"/>
      <c r="I311" s="298"/>
      <c r="J311" s="298"/>
      <c r="K311" s="298"/>
      <c r="L311" s="299"/>
    </row>
    <row r="312" spans="1:12" x14ac:dyDescent="0.25">
      <c r="A312" s="297"/>
      <c r="B312" s="301" t="s">
        <v>409</v>
      </c>
      <c r="C312" s="301"/>
      <c r="D312" s="301"/>
      <c r="E312" s="301"/>
      <c r="F312" s="301"/>
      <c r="G312" s="301"/>
      <c r="H312" s="301"/>
      <c r="I312" s="301">
        <f>ROUND(SUM(I307:I310),2)</f>
        <v>39.11</v>
      </c>
      <c r="J312" s="298"/>
      <c r="K312" s="298"/>
      <c r="L312" s="299"/>
    </row>
    <row r="313" spans="1:12" x14ac:dyDescent="0.25">
      <c r="A313" s="297"/>
      <c r="B313" s="298"/>
      <c r="C313" s="298"/>
      <c r="D313" s="298"/>
      <c r="E313" s="298"/>
      <c r="F313" s="298"/>
      <c r="G313" s="298"/>
      <c r="H313" s="298"/>
      <c r="I313" s="298"/>
      <c r="J313" s="298"/>
      <c r="K313" s="298"/>
      <c r="L313" s="299"/>
    </row>
    <row r="314" spans="1:12" x14ac:dyDescent="0.25">
      <c r="A314" s="300" t="s">
        <v>502</v>
      </c>
      <c r="B314" s="301" t="str">
        <f>'PLANILHA DEPÓSITO'!B49</f>
        <v>02180/ORSE</v>
      </c>
      <c r="C314" s="449" t="str">
        <f>'PLANILHA DEPÓSITO'!C49</f>
        <v>Regularização de base para revest. de pisos com arg. traço t4, esp. média = 2,5cm</v>
      </c>
      <c r="D314" s="449"/>
      <c r="E314" s="449"/>
      <c r="F314" s="449"/>
      <c r="G314" s="449"/>
      <c r="H314" s="449"/>
      <c r="I314" s="449"/>
      <c r="J314" s="449"/>
      <c r="K314" s="449"/>
      <c r="L314" s="450"/>
    </row>
    <row r="315" spans="1:12" x14ac:dyDescent="0.25">
      <c r="A315" s="297"/>
      <c r="B315" s="298"/>
      <c r="C315" s="298" t="s">
        <v>403</v>
      </c>
      <c r="D315" s="298" t="s">
        <v>251</v>
      </c>
      <c r="E315" s="298"/>
      <c r="F315" s="298"/>
      <c r="G315" s="298"/>
      <c r="H315" s="298"/>
      <c r="I315" s="298"/>
      <c r="J315" s="298"/>
      <c r="K315" s="298"/>
      <c r="L315" s="299"/>
    </row>
    <row r="316" spans="1:12" x14ac:dyDescent="0.25">
      <c r="A316" s="297"/>
      <c r="B316" s="298" t="s">
        <v>493</v>
      </c>
      <c r="C316" s="298">
        <v>5.65</v>
      </c>
      <c r="D316" s="298">
        <v>3.7</v>
      </c>
      <c r="E316" s="298"/>
      <c r="F316" s="298"/>
      <c r="G316" s="298"/>
      <c r="H316" s="298"/>
      <c r="I316" s="298">
        <f>ROUND(C316*D316,2)</f>
        <v>20.91</v>
      </c>
      <c r="J316" s="298"/>
      <c r="K316" s="298"/>
      <c r="L316" s="299"/>
    </row>
    <row r="317" spans="1:12" x14ac:dyDescent="0.25">
      <c r="A317" s="297"/>
      <c r="B317" s="298" t="s">
        <v>494</v>
      </c>
      <c r="C317" s="298">
        <v>4.7</v>
      </c>
      <c r="D317" s="298">
        <v>1.9</v>
      </c>
      <c r="E317" s="298"/>
      <c r="F317" s="298"/>
      <c r="G317" s="298"/>
      <c r="H317" s="298"/>
      <c r="I317" s="298">
        <f t="shared" ref="I317:I319" si="28">ROUND(C317*D317,2)</f>
        <v>8.93</v>
      </c>
      <c r="J317" s="298"/>
      <c r="K317" s="298"/>
      <c r="L317" s="299"/>
    </row>
    <row r="318" spans="1:12" x14ac:dyDescent="0.25">
      <c r="A318" s="297"/>
      <c r="B318" s="298" t="s">
        <v>495</v>
      </c>
      <c r="C318" s="298">
        <v>6</v>
      </c>
      <c r="D318" s="298">
        <v>1.5</v>
      </c>
      <c r="E318" s="298"/>
      <c r="F318" s="298"/>
      <c r="G318" s="298"/>
      <c r="H318" s="298"/>
      <c r="I318" s="304">
        <f t="shared" si="28"/>
        <v>9</v>
      </c>
      <c r="J318" s="298"/>
      <c r="K318" s="298"/>
      <c r="L318" s="299"/>
    </row>
    <row r="319" spans="1:12" x14ac:dyDescent="0.25">
      <c r="A319" s="297"/>
      <c r="B319" s="298" t="s">
        <v>496</v>
      </c>
      <c r="C319" s="298">
        <v>4.7</v>
      </c>
      <c r="D319" s="298">
        <v>1.2</v>
      </c>
      <c r="E319" s="298"/>
      <c r="F319" s="298"/>
      <c r="G319" s="298"/>
      <c r="H319" s="298"/>
      <c r="I319" s="298">
        <f t="shared" si="28"/>
        <v>5.64</v>
      </c>
      <c r="J319" s="298"/>
      <c r="K319" s="298"/>
      <c r="L319" s="299"/>
    </row>
    <row r="320" spans="1:12" x14ac:dyDescent="0.25">
      <c r="A320" s="297"/>
      <c r="B320" s="298"/>
      <c r="C320" s="298"/>
      <c r="D320" s="298"/>
      <c r="E320" s="298"/>
      <c r="F320" s="298"/>
      <c r="G320" s="298"/>
      <c r="H320" s="298"/>
      <c r="I320" s="298"/>
      <c r="J320" s="298"/>
      <c r="K320" s="298"/>
      <c r="L320" s="299"/>
    </row>
    <row r="321" spans="1:12" x14ac:dyDescent="0.25">
      <c r="A321" s="297"/>
      <c r="B321" s="301" t="s">
        <v>409</v>
      </c>
      <c r="C321" s="301"/>
      <c r="D321" s="301"/>
      <c r="E321" s="301"/>
      <c r="F321" s="301"/>
      <c r="G321" s="301"/>
      <c r="H321" s="301"/>
      <c r="I321" s="301">
        <f>ROUND(SUM(I316:I319),2)</f>
        <v>44.48</v>
      </c>
      <c r="J321" s="298"/>
      <c r="K321" s="298"/>
      <c r="L321" s="299"/>
    </row>
    <row r="322" spans="1:12" x14ac:dyDescent="0.25">
      <c r="A322" s="297"/>
      <c r="B322" s="298"/>
      <c r="C322" s="298"/>
      <c r="D322" s="298"/>
      <c r="E322" s="298"/>
      <c r="F322" s="298"/>
      <c r="G322" s="298"/>
      <c r="H322" s="298"/>
      <c r="I322" s="298"/>
      <c r="J322" s="298"/>
      <c r="K322" s="298"/>
      <c r="L322" s="299"/>
    </row>
    <row r="323" spans="1:12" ht="30" customHeight="1" x14ac:dyDescent="0.25">
      <c r="A323" s="300" t="s">
        <v>512</v>
      </c>
      <c r="B323" s="301" t="str">
        <f>'PLANILHA DEPÓSITO'!B50</f>
        <v>84191/SINAPI</v>
      </c>
      <c r="C323" s="456" t="str">
        <f>'PLANILHA DEPÓSITO'!C50</f>
        <v>PISO EM GRANILITE, MARMORITE OU GRANITINA ESPESSURA 8 MM, INCLUSO JUNTAS DE DILATACAO PLASTICAS</v>
      </c>
      <c r="D323" s="456"/>
      <c r="E323" s="456"/>
      <c r="F323" s="456"/>
      <c r="G323" s="456"/>
      <c r="H323" s="456"/>
      <c r="I323" s="456"/>
      <c r="J323" s="456"/>
      <c r="K323" s="456"/>
      <c r="L323" s="457"/>
    </row>
    <row r="324" spans="1:12" x14ac:dyDescent="0.25">
      <c r="A324" s="297"/>
      <c r="B324" s="298"/>
      <c r="C324" s="298" t="s">
        <v>403</v>
      </c>
      <c r="D324" s="298" t="s">
        <v>251</v>
      </c>
      <c r="E324" s="298"/>
      <c r="F324" s="298"/>
      <c r="G324" s="298"/>
      <c r="H324" s="298"/>
      <c r="I324" s="298"/>
      <c r="J324" s="298"/>
      <c r="K324" s="298"/>
      <c r="L324" s="299"/>
    </row>
    <row r="325" spans="1:12" x14ac:dyDescent="0.25">
      <c r="A325" s="297"/>
      <c r="B325" s="298" t="s">
        <v>493</v>
      </c>
      <c r="C325" s="298">
        <v>5.65</v>
      </c>
      <c r="D325" s="298">
        <v>3.7</v>
      </c>
      <c r="E325" s="298"/>
      <c r="F325" s="298"/>
      <c r="G325" s="298"/>
      <c r="H325" s="298"/>
      <c r="I325" s="298">
        <f>ROUND(C325*D325,2)</f>
        <v>20.91</v>
      </c>
      <c r="J325" s="298"/>
      <c r="K325" s="298"/>
      <c r="L325" s="299"/>
    </row>
    <row r="326" spans="1:12" s="100" customFormat="1" x14ac:dyDescent="0.25">
      <c r="A326" s="297"/>
      <c r="B326" s="298" t="s">
        <v>499</v>
      </c>
      <c r="C326" s="298">
        <v>0.9</v>
      </c>
      <c r="D326" s="298">
        <v>0.15</v>
      </c>
      <c r="E326" s="298"/>
      <c r="F326" s="298"/>
      <c r="G326" s="298"/>
      <c r="H326" s="298"/>
      <c r="I326" s="298">
        <f>ROUND(C326*D326,2)</f>
        <v>0.14000000000000001</v>
      </c>
      <c r="J326" s="298"/>
      <c r="K326" s="298"/>
      <c r="L326" s="299"/>
    </row>
    <row r="327" spans="1:12" x14ac:dyDescent="0.25">
      <c r="A327" s="297"/>
      <c r="B327" s="298" t="s">
        <v>494</v>
      </c>
      <c r="C327" s="298">
        <v>4.4000000000000004</v>
      </c>
      <c r="D327" s="298">
        <v>1.6</v>
      </c>
      <c r="E327" s="298"/>
      <c r="F327" s="298"/>
      <c r="G327" s="298"/>
      <c r="H327" s="298"/>
      <c r="I327" s="298">
        <f t="shared" ref="I327" si="29">ROUND(C327*D327,2)</f>
        <v>7.04</v>
      </c>
      <c r="J327" s="298"/>
      <c r="K327" s="298"/>
      <c r="L327" s="299"/>
    </row>
    <row r="328" spans="1:12" x14ac:dyDescent="0.25">
      <c r="A328" s="297"/>
      <c r="B328" s="298"/>
      <c r="C328" s="298"/>
      <c r="D328" s="298"/>
      <c r="E328" s="298"/>
      <c r="F328" s="298"/>
      <c r="G328" s="298"/>
      <c r="H328" s="298"/>
      <c r="I328" s="298"/>
      <c r="J328" s="298"/>
      <c r="K328" s="298"/>
      <c r="L328" s="299"/>
    </row>
    <row r="329" spans="1:12" x14ac:dyDescent="0.25">
      <c r="A329" s="297"/>
      <c r="B329" s="301" t="s">
        <v>409</v>
      </c>
      <c r="C329" s="301"/>
      <c r="D329" s="301"/>
      <c r="E329" s="301"/>
      <c r="F329" s="301"/>
      <c r="G329" s="301"/>
      <c r="H329" s="301"/>
      <c r="I329" s="301">
        <f>ROUND(SUM(I325:I327),2)</f>
        <v>28.09</v>
      </c>
      <c r="J329" s="298"/>
      <c r="K329" s="298"/>
      <c r="L329" s="299"/>
    </row>
    <row r="330" spans="1:12" ht="15.75" thickBot="1" x14ac:dyDescent="0.3">
      <c r="A330" s="305"/>
      <c r="B330" s="307"/>
      <c r="C330" s="307"/>
      <c r="D330" s="307"/>
      <c r="E330" s="307"/>
      <c r="F330" s="307"/>
      <c r="G330" s="307"/>
      <c r="H330" s="307"/>
      <c r="I330" s="307"/>
      <c r="J330" s="307"/>
      <c r="K330" s="307"/>
      <c r="L330" s="308"/>
    </row>
    <row r="331" spans="1:12" ht="15.75" thickBot="1" x14ac:dyDescent="0.3">
      <c r="A331" s="311" t="s">
        <v>513</v>
      </c>
      <c r="B331" s="312" t="str">
        <f>'PLANILHA DEPÓSITO'!C51</f>
        <v>COBERTURA</v>
      </c>
      <c r="C331" s="313"/>
      <c r="D331" s="313"/>
      <c r="E331" s="313"/>
      <c r="F331" s="313"/>
      <c r="G331" s="313"/>
      <c r="H331" s="313"/>
      <c r="I331" s="313"/>
      <c r="J331" s="313"/>
      <c r="K331" s="313"/>
      <c r="L331" s="314"/>
    </row>
    <row r="332" spans="1:12" ht="45" customHeight="1" x14ac:dyDescent="0.25">
      <c r="A332" s="300" t="s">
        <v>514</v>
      </c>
      <c r="B332" s="301" t="str">
        <f>'PLANILHA DEPÓSITO'!B52</f>
        <v>92539/SINAPI</v>
      </c>
      <c r="C332" s="456" t="str">
        <f>'PLANILHA DEPÓSITO'!C52</f>
        <v>TRAMA DE MADEIRA COMPOSTA POR RIPAS, CAIBROS E TERÇAS PARA TELHADOS DE ATÉ 2 ÁGUAS PARA TELHA DE ENCAIXE DE CERÂMICA OU DE CONCRETO, INCLUSO TRANSPORTE VERTICAL. AF_12/2015</v>
      </c>
      <c r="D332" s="456"/>
      <c r="E332" s="456"/>
      <c r="F332" s="456"/>
      <c r="G332" s="456"/>
      <c r="H332" s="456"/>
      <c r="I332" s="456"/>
      <c r="J332" s="456"/>
      <c r="K332" s="456"/>
      <c r="L332" s="457"/>
    </row>
    <row r="333" spans="1:12" x14ac:dyDescent="0.25">
      <c r="A333" s="297"/>
      <c r="B333" s="298"/>
      <c r="C333" s="298" t="s">
        <v>403</v>
      </c>
      <c r="D333" s="298" t="s">
        <v>251</v>
      </c>
      <c r="E333" s="298"/>
      <c r="F333" s="298"/>
      <c r="G333" s="298"/>
      <c r="H333" s="298"/>
      <c r="I333" s="298"/>
      <c r="J333" s="298"/>
      <c r="K333" s="298"/>
      <c r="L333" s="299"/>
    </row>
    <row r="334" spans="1:12" x14ac:dyDescent="0.25">
      <c r="A334" s="297"/>
      <c r="B334" s="298" t="s">
        <v>493</v>
      </c>
      <c r="C334" s="298">
        <f>6.4+0.8+0.8</f>
        <v>8</v>
      </c>
      <c r="D334" s="298">
        <v>4.8</v>
      </c>
      <c r="E334" s="298"/>
      <c r="F334" s="298"/>
      <c r="G334" s="298"/>
      <c r="H334" s="298"/>
      <c r="I334" s="298">
        <f t="shared" ref="I334" si="30">ROUND(C334*D334,2)</f>
        <v>38.4</v>
      </c>
      <c r="J334" s="298"/>
      <c r="K334" s="298"/>
      <c r="L334" s="299"/>
    </row>
    <row r="335" spans="1:12" x14ac:dyDescent="0.25">
      <c r="A335" s="297"/>
      <c r="B335" s="298"/>
      <c r="C335" s="298"/>
      <c r="D335" s="298"/>
      <c r="E335" s="298"/>
      <c r="F335" s="298"/>
      <c r="G335" s="298"/>
      <c r="H335" s="298"/>
      <c r="I335" s="298"/>
      <c r="J335" s="298"/>
      <c r="K335" s="298"/>
      <c r="L335" s="299"/>
    </row>
    <row r="336" spans="1:12" x14ac:dyDescent="0.25">
      <c r="A336" s="297"/>
      <c r="B336" s="301" t="s">
        <v>409</v>
      </c>
      <c r="C336" s="301"/>
      <c r="D336" s="301"/>
      <c r="E336" s="301"/>
      <c r="F336" s="301"/>
      <c r="G336" s="301"/>
      <c r="H336" s="301"/>
      <c r="I336" s="301">
        <f>ROUND(SUM(I334),2)</f>
        <v>38.4</v>
      </c>
      <c r="J336" s="298"/>
      <c r="K336" s="298"/>
      <c r="L336" s="299"/>
    </row>
    <row r="337" spans="1:12" x14ac:dyDescent="0.25">
      <c r="A337" s="297"/>
      <c r="B337" s="298"/>
      <c r="C337" s="298"/>
      <c r="D337" s="298"/>
      <c r="E337" s="298"/>
      <c r="F337" s="298"/>
      <c r="G337" s="298"/>
      <c r="H337" s="298"/>
      <c r="I337" s="298"/>
      <c r="J337" s="298"/>
      <c r="K337" s="298"/>
      <c r="L337" s="299"/>
    </row>
    <row r="338" spans="1:12" ht="30" customHeight="1" x14ac:dyDescent="0.25">
      <c r="A338" s="300" t="s">
        <v>515</v>
      </c>
      <c r="B338" s="301" t="str">
        <f>'PLANILHA DEPÓSITO'!B53</f>
        <v>94447/SINAPI</v>
      </c>
      <c r="C338" s="456" t="str">
        <f>'PLANILHA DEPÓSITO'!C53</f>
        <v>TELHAMENTO COM TELHA CERÂMICA CAPA-CANAL, TIPO PAULISTA, COM ATÉ 2 ÁGUAS, INCLUSO TRANSPORTE VERTICAL. AF_06/2016</v>
      </c>
      <c r="D338" s="456"/>
      <c r="E338" s="456"/>
      <c r="F338" s="456"/>
      <c r="G338" s="456"/>
      <c r="H338" s="456"/>
      <c r="I338" s="456"/>
      <c r="J338" s="456"/>
      <c r="K338" s="456"/>
      <c r="L338" s="457"/>
    </row>
    <row r="339" spans="1:12" x14ac:dyDescent="0.25">
      <c r="A339" s="297"/>
      <c r="B339" s="298"/>
      <c r="C339" s="298" t="s">
        <v>403</v>
      </c>
      <c r="D339" s="298" t="s">
        <v>251</v>
      </c>
      <c r="E339" s="298"/>
      <c r="F339" s="298"/>
      <c r="G339" s="298"/>
      <c r="H339" s="298"/>
      <c r="I339" s="298"/>
      <c r="J339" s="298"/>
      <c r="K339" s="298"/>
      <c r="L339" s="299"/>
    </row>
    <row r="340" spans="1:12" x14ac:dyDescent="0.25">
      <c r="A340" s="297"/>
      <c r="B340" s="298" t="s">
        <v>493</v>
      </c>
      <c r="C340" s="298">
        <f>6.4+0.8+0.8</f>
        <v>8</v>
      </c>
      <c r="D340" s="298">
        <v>4.8</v>
      </c>
      <c r="E340" s="298"/>
      <c r="F340" s="298"/>
      <c r="G340" s="298"/>
      <c r="H340" s="298"/>
      <c r="I340" s="298">
        <f t="shared" ref="I340" si="31">ROUND(C340*D340,2)</f>
        <v>38.4</v>
      </c>
      <c r="J340" s="298"/>
      <c r="K340" s="298"/>
      <c r="L340" s="299"/>
    </row>
    <row r="341" spans="1:12" x14ac:dyDescent="0.25">
      <c r="A341" s="297"/>
      <c r="B341" s="298"/>
      <c r="C341" s="298"/>
      <c r="D341" s="298"/>
      <c r="E341" s="298"/>
      <c r="F341" s="298"/>
      <c r="G341" s="298"/>
      <c r="H341" s="298"/>
      <c r="I341" s="298"/>
      <c r="J341" s="298"/>
      <c r="K341" s="298"/>
      <c r="L341" s="299"/>
    </row>
    <row r="342" spans="1:12" x14ac:dyDescent="0.25">
      <c r="A342" s="297"/>
      <c r="B342" s="301" t="s">
        <v>409</v>
      </c>
      <c r="C342" s="301"/>
      <c r="D342" s="301"/>
      <c r="E342" s="301"/>
      <c r="F342" s="301"/>
      <c r="G342" s="301"/>
      <c r="H342" s="301"/>
      <c r="I342" s="301">
        <f>ROUND(SUM(I340),2)</f>
        <v>38.4</v>
      </c>
      <c r="J342" s="298"/>
      <c r="K342" s="298"/>
      <c r="L342" s="299"/>
    </row>
    <row r="343" spans="1:12" x14ac:dyDescent="0.25">
      <c r="A343" s="297"/>
      <c r="B343" s="298"/>
      <c r="C343" s="298"/>
      <c r="D343" s="298"/>
      <c r="E343" s="298"/>
      <c r="F343" s="298"/>
      <c r="G343" s="298"/>
      <c r="H343" s="298"/>
      <c r="I343" s="298"/>
      <c r="J343" s="298"/>
      <c r="K343" s="298"/>
      <c r="L343" s="299"/>
    </row>
    <row r="344" spans="1:12" x14ac:dyDescent="0.25">
      <c r="A344" s="300" t="s">
        <v>529</v>
      </c>
      <c r="B344" s="301" t="str">
        <f>'PLANILHA DEPÓSITO'!B54</f>
        <v>94231/SINAPI</v>
      </c>
      <c r="C344" s="303" t="str">
        <f>'PLANILHA DEPÓSITO'!C54</f>
        <v>RUFO EM CHAPA DE AÇO GALVANIZADO NÚMERO 24, CORTE DE 25 CM, INCLUSO TRANSPORTE VERTICAL. AF_06/2016</v>
      </c>
      <c r="D344" s="301"/>
      <c r="E344" s="298"/>
      <c r="F344" s="298"/>
      <c r="G344" s="298"/>
      <c r="H344" s="298"/>
      <c r="I344" s="298"/>
      <c r="J344" s="298"/>
      <c r="K344" s="298"/>
      <c r="L344" s="299"/>
    </row>
    <row r="345" spans="1:12" x14ac:dyDescent="0.25">
      <c r="A345" s="297"/>
      <c r="B345" s="298"/>
      <c r="C345" s="298" t="s">
        <v>403</v>
      </c>
      <c r="D345" s="298"/>
      <c r="E345" s="298"/>
      <c r="F345" s="298"/>
      <c r="G345" s="298"/>
      <c r="H345" s="298"/>
      <c r="I345" s="298"/>
      <c r="J345" s="298"/>
      <c r="K345" s="298"/>
      <c r="L345" s="299"/>
    </row>
    <row r="346" spans="1:12" x14ac:dyDescent="0.25">
      <c r="A346" s="297"/>
      <c r="B346" s="298"/>
      <c r="C346" s="298">
        <v>6.4</v>
      </c>
      <c r="D346" s="298"/>
      <c r="E346" s="298"/>
      <c r="F346" s="298"/>
      <c r="G346" s="298"/>
      <c r="H346" s="298"/>
      <c r="I346" s="298">
        <v>6.4</v>
      </c>
      <c r="J346" s="298"/>
      <c r="K346" s="298"/>
      <c r="L346" s="299"/>
    </row>
    <row r="347" spans="1:12" x14ac:dyDescent="0.25">
      <c r="A347" s="297"/>
      <c r="B347" s="298"/>
      <c r="C347" s="298"/>
      <c r="D347" s="298"/>
      <c r="E347" s="298"/>
      <c r="F347" s="298"/>
      <c r="G347" s="298"/>
      <c r="H347" s="298"/>
      <c r="I347" s="298"/>
      <c r="J347" s="298"/>
      <c r="K347" s="298"/>
      <c r="L347" s="299"/>
    </row>
    <row r="348" spans="1:12" ht="15.75" thickBot="1" x14ac:dyDescent="0.3">
      <c r="A348" s="305"/>
      <c r="B348" s="306" t="s">
        <v>409</v>
      </c>
      <c r="C348" s="306"/>
      <c r="D348" s="306"/>
      <c r="E348" s="306"/>
      <c r="F348" s="306"/>
      <c r="G348" s="306"/>
      <c r="H348" s="306"/>
      <c r="I348" s="306">
        <f>ROUND(SUM(I346),2)</f>
        <v>6.4</v>
      </c>
      <c r="J348" s="307"/>
      <c r="K348" s="307"/>
      <c r="L348" s="308"/>
    </row>
  </sheetData>
  <mergeCells count="36">
    <mergeCell ref="A3:L3"/>
    <mergeCell ref="C314:L314"/>
    <mergeCell ref="C323:L323"/>
    <mergeCell ref="C332:L332"/>
    <mergeCell ref="C338:L338"/>
    <mergeCell ref="C32:L32"/>
    <mergeCell ref="C266:L266"/>
    <mergeCell ref="C273:L273"/>
    <mergeCell ref="C282:L282"/>
    <mergeCell ref="C289:L289"/>
    <mergeCell ref="C296:L296"/>
    <mergeCell ref="C305:L305"/>
    <mergeCell ref="C217:L217"/>
    <mergeCell ref="C226:L226"/>
    <mergeCell ref="C233:L233"/>
    <mergeCell ref="C241:L241"/>
    <mergeCell ref="C250:L250"/>
    <mergeCell ref="C257:L257"/>
    <mergeCell ref="C160:L160"/>
    <mergeCell ref="C166:L166"/>
    <mergeCell ref="C172:L172"/>
    <mergeCell ref="C182:L182"/>
    <mergeCell ref="C196:L196"/>
    <mergeCell ref="C209:L209"/>
    <mergeCell ref="C154:L154"/>
    <mergeCell ref="C11:L11"/>
    <mergeCell ref="C18:L18"/>
    <mergeCell ref="C26:L26"/>
    <mergeCell ref="C39:L39"/>
    <mergeCell ref="C47:L47"/>
    <mergeCell ref="C55:L55"/>
    <mergeCell ref="C63:K63"/>
    <mergeCell ref="C74:L74"/>
    <mergeCell ref="C84:L84"/>
    <mergeCell ref="C104:L104"/>
    <mergeCell ref="C124:L124"/>
  </mergeCells>
  <pageMargins left="0.78740157480314965" right="0.78740157480314965" top="0.78740157480314965" bottom="0.78740157480314965" header="0" footer="0"/>
  <pageSetup paperSize="9" scale="74" orientation="portrait" verticalDpi="0" r:id="rId1"/>
  <colBreaks count="1" manualBreakCount="1">
    <brk id="12" max="1048575" man="1"/>
  </colBreak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9"/>
  <sheetViews>
    <sheetView view="pageBreakPreview" zoomScaleNormal="100" zoomScaleSheetLayoutView="100" workbookViewId="0">
      <selection activeCell="D19" sqref="D19"/>
    </sheetView>
  </sheetViews>
  <sheetFormatPr defaultRowHeight="15" x14ac:dyDescent="0.25"/>
  <cols>
    <col min="2" max="2" width="14.140625" customWidth="1"/>
    <col min="3" max="3" width="45.7109375" customWidth="1"/>
  </cols>
  <sheetData>
    <row r="1" spans="2:7" ht="15.75" thickBot="1" x14ac:dyDescent="0.3">
      <c r="B1" s="458" t="s">
        <v>572</v>
      </c>
      <c r="C1" s="459"/>
      <c r="D1" s="459"/>
      <c r="E1" s="459"/>
      <c r="F1" s="459"/>
      <c r="G1" s="460"/>
    </row>
    <row r="2" spans="2:7" x14ac:dyDescent="0.25">
      <c r="B2" s="319"/>
      <c r="C2" s="320"/>
      <c r="D2" s="320"/>
      <c r="E2" s="320"/>
      <c r="F2" s="320"/>
      <c r="G2" s="321"/>
    </row>
    <row r="3" spans="2:7" ht="30" x14ac:dyDescent="0.25">
      <c r="B3" s="322" t="s">
        <v>577</v>
      </c>
      <c r="C3" s="323" t="s">
        <v>420</v>
      </c>
      <c r="D3" s="320" t="s">
        <v>300</v>
      </c>
      <c r="E3" s="320"/>
      <c r="F3" s="320"/>
      <c r="G3" s="321"/>
    </row>
    <row r="4" spans="2:7" ht="30" x14ac:dyDescent="0.25">
      <c r="B4" s="319" t="s">
        <v>292</v>
      </c>
      <c r="C4" s="320" t="s">
        <v>293</v>
      </c>
      <c r="D4" s="324" t="s">
        <v>294</v>
      </c>
      <c r="E4" s="324" t="s">
        <v>295</v>
      </c>
      <c r="F4" s="325" t="s">
        <v>296</v>
      </c>
      <c r="G4" s="326" t="s">
        <v>297</v>
      </c>
    </row>
    <row r="5" spans="2:7" ht="30" x14ac:dyDescent="0.25">
      <c r="B5" s="319" t="s">
        <v>421</v>
      </c>
      <c r="C5" s="323" t="s">
        <v>422</v>
      </c>
      <c r="D5" s="324" t="s">
        <v>423</v>
      </c>
      <c r="E5" s="320">
        <v>0.05</v>
      </c>
      <c r="F5" s="320">
        <v>400</v>
      </c>
      <c r="G5" s="321">
        <f>E5*F5</f>
        <v>20</v>
      </c>
    </row>
    <row r="6" spans="2:7" ht="60" x14ac:dyDescent="0.25">
      <c r="B6" s="319" t="s">
        <v>424</v>
      </c>
      <c r="C6" s="323" t="s">
        <v>425</v>
      </c>
      <c r="D6" s="324" t="s">
        <v>105</v>
      </c>
      <c r="E6" s="320">
        <v>3.1600000000000003E-2</v>
      </c>
      <c r="F6" s="320">
        <v>295.43</v>
      </c>
      <c r="G6" s="321">
        <f>ROUND(E6*F6,2)</f>
        <v>9.34</v>
      </c>
    </row>
    <row r="7" spans="2:7" x14ac:dyDescent="0.25">
      <c r="B7" s="319" t="s">
        <v>426</v>
      </c>
      <c r="C7" s="320" t="s">
        <v>307</v>
      </c>
      <c r="D7" s="324" t="s">
        <v>308</v>
      </c>
      <c r="E7" s="320">
        <v>1.5</v>
      </c>
      <c r="F7" s="320">
        <v>11.79</v>
      </c>
      <c r="G7" s="321">
        <f>ROUND(E7*F7,2)</f>
        <v>17.690000000000001</v>
      </c>
    </row>
    <row r="8" spans="2:7" ht="15.75" thickBot="1" x14ac:dyDescent="0.3">
      <c r="B8" s="319" t="s">
        <v>264</v>
      </c>
      <c r="C8" s="320" t="s">
        <v>310</v>
      </c>
      <c r="D8" s="324" t="s">
        <v>308</v>
      </c>
      <c r="E8" s="320">
        <v>1.5</v>
      </c>
      <c r="F8" s="320">
        <v>8.74</v>
      </c>
      <c r="G8" s="321">
        <f t="shared" ref="G8" si="0">E8*F8</f>
        <v>13.11</v>
      </c>
    </row>
    <row r="9" spans="2:7" ht="15.75" thickBot="1" x14ac:dyDescent="0.3">
      <c r="B9" s="327"/>
      <c r="C9" s="328"/>
      <c r="D9" s="328"/>
      <c r="E9" s="328"/>
      <c r="F9" s="328"/>
      <c r="G9" s="329">
        <f>ROUND(SUM(G5:G8),2)</f>
        <v>60.14</v>
      </c>
    </row>
  </sheetData>
  <mergeCells count="1">
    <mergeCell ref="B1:G1"/>
  </mergeCells>
  <pageMargins left="0.78740157480314965" right="0.78740157480314965" top="0.78740157480314965" bottom="0.78740157480314965" header="0" footer="0"/>
  <pageSetup paperSize="9" scale="88" orientation="portrait" verticalDpi="0"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30"/>
  <sheetViews>
    <sheetView view="pageBreakPreview" topLeftCell="B1" zoomScaleNormal="100" zoomScaleSheetLayoutView="100" workbookViewId="0">
      <selection activeCell="Q21" sqref="Q21"/>
    </sheetView>
  </sheetViews>
  <sheetFormatPr defaultRowHeight="15" x14ac:dyDescent="0.25"/>
  <cols>
    <col min="3" max="3" width="51.42578125" bestFit="1" customWidth="1"/>
    <col min="4" max="4" width="13.7109375" bestFit="1" customWidth="1"/>
    <col min="6" max="6" width="11.85546875" bestFit="1" customWidth="1"/>
    <col min="7" max="7" width="18.7109375" bestFit="1" customWidth="1"/>
    <col min="9" max="9" width="10.5703125" bestFit="1" customWidth="1"/>
    <col min="10" max="11" width="10.5703125" customWidth="1"/>
    <col min="12" max="12" width="10.5703125" style="100" customWidth="1"/>
    <col min="13" max="13" width="11.5703125" style="100" bestFit="1" customWidth="1"/>
    <col min="14" max="14" width="10.5703125" style="100" customWidth="1"/>
    <col min="15" max="15" width="11.5703125" style="100" bestFit="1" customWidth="1"/>
    <col min="17" max="17" width="10.5703125" bestFit="1" customWidth="1"/>
  </cols>
  <sheetData>
    <row r="1" spans="2:17" ht="15.75" thickBot="1" x14ac:dyDescent="0.3"/>
    <row r="2" spans="2:17" ht="20.25" thickBot="1" x14ac:dyDescent="0.3">
      <c r="B2" s="410" t="s">
        <v>71</v>
      </c>
      <c r="C2" s="411"/>
      <c r="D2" s="411"/>
      <c r="E2" s="411"/>
      <c r="F2" s="411"/>
      <c r="G2" s="411"/>
      <c r="H2" s="411"/>
      <c r="I2" s="411"/>
      <c r="J2" s="411"/>
      <c r="K2" s="411"/>
      <c r="L2" s="411"/>
      <c r="M2" s="411"/>
      <c r="N2" s="411"/>
      <c r="O2" s="411"/>
      <c r="P2" s="411"/>
      <c r="Q2" s="412"/>
    </row>
    <row r="3" spans="2:17" x14ac:dyDescent="0.25">
      <c r="B3" s="413" t="s">
        <v>522</v>
      </c>
      <c r="C3" s="414"/>
      <c r="D3" s="414"/>
      <c r="E3" s="414"/>
      <c r="F3" s="414"/>
      <c r="G3" s="414"/>
      <c r="H3" s="414"/>
      <c r="I3" s="414"/>
      <c r="J3" s="414"/>
      <c r="K3" s="414"/>
      <c r="L3" s="414"/>
      <c r="M3" s="414"/>
      <c r="N3" s="414"/>
      <c r="O3" s="414"/>
      <c r="P3" s="414"/>
      <c r="Q3" s="415"/>
    </row>
    <row r="4" spans="2:17" ht="15.75" thickBot="1" x14ac:dyDescent="0.3">
      <c r="B4" s="416" t="s">
        <v>525</v>
      </c>
      <c r="C4" s="417"/>
      <c r="D4" s="417"/>
      <c r="E4" s="417"/>
      <c r="F4" s="417"/>
      <c r="G4" s="417"/>
      <c r="H4" s="417"/>
      <c r="I4" s="417"/>
      <c r="J4" s="417"/>
      <c r="K4" s="417"/>
      <c r="L4" s="417"/>
      <c r="M4" s="417"/>
      <c r="N4" s="417"/>
      <c r="O4" s="417"/>
      <c r="P4" s="417"/>
      <c r="Q4" s="418"/>
    </row>
    <row r="5" spans="2:17" ht="15.75" x14ac:dyDescent="0.3">
      <c r="B5" s="419" t="s">
        <v>1</v>
      </c>
      <c r="C5" s="421" t="s">
        <v>3</v>
      </c>
      <c r="D5" s="423" t="s">
        <v>72</v>
      </c>
      <c r="E5" s="425" t="s">
        <v>70</v>
      </c>
      <c r="F5" s="427" t="s">
        <v>141</v>
      </c>
      <c r="G5" s="429" t="s">
        <v>73</v>
      </c>
      <c r="H5" s="431" t="s">
        <v>74</v>
      </c>
      <c r="I5" s="431"/>
      <c r="J5" s="432" t="s">
        <v>75</v>
      </c>
      <c r="K5" s="408"/>
      <c r="L5" s="432" t="s">
        <v>142</v>
      </c>
      <c r="M5" s="408"/>
      <c r="N5" s="432" t="s">
        <v>523</v>
      </c>
      <c r="O5" s="408"/>
      <c r="P5" s="408" t="s">
        <v>524</v>
      </c>
      <c r="Q5" s="409"/>
    </row>
    <row r="6" spans="2:17" ht="16.5" thickBot="1" x14ac:dyDescent="0.35">
      <c r="B6" s="420"/>
      <c r="C6" s="422"/>
      <c r="D6" s="424"/>
      <c r="E6" s="426"/>
      <c r="F6" s="428"/>
      <c r="G6" s="430"/>
      <c r="H6" s="38" t="s">
        <v>70</v>
      </c>
      <c r="I6" s="38" t="s">
        <v>76</v>
      </c>
      <c r="J6" s="39"/>
      <c r="K6" s="39"/>
      <c r="L6" s="39"/>
      <c r="M6" s="39"/>
      <c r="N6" s="39"/>
      <c r="O6" s="39"/>
      <c r="P6" s="39" t="s">
        <v>70</v>
      </c>
      <c r="Q6" s="40" t="s">
        <v>76</v>
      </c>
    </row>
    <row r="7" spans="2:17" x14ac:dyDescent="0.25">
      <c r="B7" s="80" t="s">
        <v>9</v>
      </c>
      <c r="C7" s="222" t="str">
        <f>'PLANILHA DEPÓSITO'!C7</f>
        <v>SERVIÇOS PRELIMINARES</v>
      </c>
      <c r="D7" s="41">
        <f>'PLANILHA DEPÓSITO'!G7</f>
        <v>163.88</v>
      </c>
      <c r="E7" s="82">
        <f>D7/D19</f>
        <v>6.5097334179159078E-3</v>
      </c>
      <c r="F7" s="42">
        <f>ROUND(D7*0.2522,2)</f>
        <v>41.33</v>
      </c>
      <c r="G7" s="83">
        <f>ROUND(D7+F7,2)</f>
        <v>205.21</v>
      </c>
      <c r="H7" s="216">
        <v>1</v>
      </c>
      <c r="I7" s="44">
        <f>G7*H7</f>
        <v>205.21</v>
      </c>
      <c r="J7" s="216">
        <v>0</v>
      </c>
      <c r="K7" s="44">
        <f t="shared" ref="K7:O18" si="0">$G7*J7</f>
        <v>0</v>
      </c>
      <c r="L7" s="216">
        <v>0</v>
      </c>
      <c r="M7" s="79">
        <f t="shared" si="0"/>
        <v>0</v>
      </c>
      <c r="N7" s="216">
        <v>0</v>
      </c>
      <c r="O7" s="79">
        <f t="shared" si="0"/>
        <v>0</v>
      </c>
      <c r="P7" s="216">
        <v>0</v>
      </c>
      <c r="Q7" s="45">
        <f t="shared" ref="Q7:Q18" si="1">$G7*P7</f>
        <v>0</v>
      </c>
    </row>
    <row r="8" spans="2:17" x14ac:dyDescent="0.25">
      <c r="B8" s="46" t="s">
        <v>12</v>
      </c>
      <c r="C8" s="223" t="str">
        <f>'PLANILHA DEPÓSITO'!C10</f>
        <v>MOVIMENTO DE TERRA</v>
      </c>
      <c r="D8" s="47">
        <f>'PLANILHA DEPÓSITO'!G10</f>
        <v>1006.26</v>
      </c>
      <c r="E8" s="48">
        <f>D8/D19</f>
        <v>3.9971224976275699E-2</v>
      </c>
      <c r="F8" s="42">
        <f t="shared" ref="F8:F18" si="2">ROUND(D8*0.2522,2)</f>
        <v>253.78</v>
      </c>
      <c r="G8" s="83">
        <f t="shared" ref="G8:G18" si="3">ROUND(D8+F8,2)</f>
        <v>1260.04</v>
      </c>
      <c r="H8" s="216">
        <v>0.6</v>
      </c>
      <c r="I8" s="44">
        <f t="shared" ref="I8:I18" si="4">G8*H8</f>
        <v>756.024</v>
      </c>
      <c r="J8" s="216">
        <v>0.4</v>
      </c>
      <c r="K8" s="79">
        <f t="shared" si="0"/>
        <v>504.01600000000002</v>
      </c>
      <c r="L8" s="216">
        <v>0</v>
      </c>
      <c r="M8" s="79">
        <f t="shared" si="0"/>
        <v>0</v>
      </c>
      <c r="N8" s="216">
        <v>0</v>
      </c>
      <c r="O8" s="79">
        <f t="shared" si="0"/>
        <v>0</v>
      </c>
      <c r="P8" s="216">
        <v>0</v>
      </c>
      <c r="Q8" s="84">
        <f t="shared" si="1"/>
        <v>0</v>
      </c>
    </row>
    <row r="9" spans="2:17" x14ac:dyDescent="0.25">
      <c r="B9" s="46" t="s">
        <v>17</v>
      </c>
      <c r="C9" s="223" t="str">
        <f>'PLANILHA DEPÓSITO'!C14</f>
        <v>FUNDAÇÃO</v>
      </c>
      <c r="D9" s="47">
        <f>'PLANILHA DEPÓSITO'!G14</f>
        <v>3946.12</v>
      </c>
      <c r="E9" s="48">
        <f>D9/D19</f>
        <v>0.15674999533259898</v>
      </c>
      <c r="F9" s="42">
        <f t="shared" si="2"/>
        <v>995.21</v>
      </c>
      <c r="G9" s="83">
        <f t="shared" si="3"/>
        <v>4941.33</v>
      </c>
      <c r="H9" s="216">
        <v>0</v>
      </c>
      <c r="I9" s="44">
        <f t="shared" si="4"/>
        <v>0</v>
      </c>
      <c r="J9" s="216">
        <v>0.5</v>
      </c>
      <c r="K9" s="79">
        <f t="shared" si="0"/>
        <v>2470.665</v>
      </c>
      <c r="L9" s="216">
        <v>0.5</v>
      </c>
      <c r="M9" s="79">
        <f t="shared" si="0"/>
        <v>2470.665</v>
      </c>
      <c r="N9" s="216">
        <v>0</v>
      </c>
      <c r="O9" s="79">
        <f t="shared" si="0"/>
        <v>0</v>
      </c>
      <c r="P9" s="216">
        <v>0</v>
      </c>
      <c r="Q9" s="84">
        <f t="shared" si="1"/>
        <v>0</v>
      </c>
    </row>
    <row r="10" spans="2:17" x14ac:dyDescent="0.25">
      <c r="B10" s="46" t="s">
        <v>19</v>
      </c>
      <c r="C10" s="223" t="str">
        <f>'PLANILHA DEPÓSITO'!C19</f>
        <v>ALVENARIA</v>
      </c>
      <c r="D10" s="47">
        <f>'PLANILHA DEPÓSITO'!G19</f>
        <v>2219.65</v>
      </c>
      <c r="E10" s="48">
        <f>D10/D19</f>
        <v>8.8170184165712998E-2</v>
      </c>
      <c r="F10" s="42">
        <f t="shared" si="2"/>
        <v>559.79999999999995</v>
      </c>
      <c r="G10" s="83">
        <f t="shared" si="3"/>
        <v>2779.45</v>
      </c>
      <c r="H10" s="216">
        <v>0</v>
      </c>
      <c r="I10" s="44">
        <f t="shared" si="4"/>
        <v>0</v>
      </c>
      <c r="J10" s="216">
        <v>0.3</v>
      </c>
      <c r="K10" s="79">
        <f t="shared" si="0"/>
        <v>833.83499999999992</v>
      </c>
      <c r="L10" s="216">
        <v>0.7</v>
      </c>
      <c r="M10" s="79">
        <f t="shared" si="0"/>
        <v>1945.6149999999998</v>
      </c>
      <c r="N10" s="216">
        <v>0</v>
      </c>
      <c r="O10" s="79">
        <f t="shared" si="0"/>
        <v>0</v>
      </c>
      <c r="P10" s="216">
        <v>0</v>
      </c>
      <c r="Q10" s="84">
        <f t="shared" si="1"/>
        <v>0</v>
      </c>
    </row>
    <row r="11" spans="2:17" x14ac:dyDescent="0.25">
      <c r="B11" s="46" t="s">
        <v>57</v>
      </c>
      <c r="C11" s="223" t="str">
        <f>'PLANILHA DEPÓSITO'!C21</f>
        <v>ESTRUTURA</v>
      </c>
      <c r="D11" s="47">
        <f>'PLANILHA DEPÓSITO'!G21</f>
        <v>6340.91</v>
      </c>
      <c r="E11" s="48">
        <f>D11/D19</f>
        <v>0.25187718896141786</v>
      </c>
      <c r="F11" s="42">
        <f t="shared" si="2"/>
        <v>1599.18</v>
      </c>
      <c r="G11" s="83">
        <f t="shared" si="3"/>
        <v>7940.09</v>
      </c>
      <c r="H11" s="216">
        <v>0</v>
      </c>
      <c r="I11" s="44">
        <f t="shared" si="4"/>
        <v>0</v>
      </c>
      <c r="J11" s="216">
        <v>0.6</v>
      </c>
      <c r="K11" s="79">
        <f t="shared" si="0"/>
        <v>4764.0540000000001</v>
      </c>
      <c r="L11" s="216">
        <v>0.4</v>
      </c>
      <c r="M11" s="79">
        <f t="shared" si="0"/>
        <v>3176.0360000000001</v>
      </c>
      <c r="N11" s="216">
        <v>0</v>
      </c>
      <c r="O11" s="79">
        <f t="shared" si="0"/>
        <v>0</v>
      </c>
      <c r="P11" s="216">
        <v>0</v>
      </c>
      <c r="Q11" s="84">
        <f t="shared" si="1"/>
        <v>0</v>
      </c>
    </row>
    <row r="12" spans="2:17" x14ac:dyDescent="0.25">
      <c r="B12" s="46" t="s">
        <v>62</v>
      </c>
      <c r="C12" s="223" t="str">
        <f>'PLANILHA DEPÓSITO'!C29</f>
        <v>REVESTIMENTO</v>
      </c>
      <c r="D12" s="47">
        <f>'PLANILHA DEPÓSITO'!G29</f>
        <v>3712.81</v>
      </c>
      <c r="E12" s="48">
        <f>D12/D19</f>
        <v>0.14748232445308984</v>
      </c>
      <c r="F12" s="42">
        <f t="shared" si="2"/>
        <v>936.37</v>
      </c>
      <c r="G12" s="83">
        <f t="shared" si="3"/>
        <v>4649.18</v>
      </c>
      <c r="H12" s="216">
        <v>0</v>
      </c>
      <c r="I12" s="44">
        <f t="shared" si="4"/>
        <v>0</v>
      </c>
      <c r="J12" s="216">
        <v>0</v>
      </c>
      <c r="K12" s="79">
        <f t="shared" si="0"/>
        <v>0</v>
      </c>
      <c r="L12" s="216">
        <v>0.5</v>
      </c>
      <c r="M12" s="79">
        <f t="shared" si="0"/>
        <v>2324.59</v>
      </c>
      <c r="N12" s="216">
        <v>0.5</v>
      </c>
      <c r="O12" s="79">
        <f t="shared" si="0"/>
        <v>2324.59</v>
      </c>
      <c r="P12" s="216">
        <v>0</v>
      </c>
      <c r="Q12" s="84">
        <f t="shared" si="1"/>
        <v>0</v>
      </c>
    </row>
    <row r="13" spans="2:17" x14ac:dyDescent="0.25">
      <c r="B13" s="46" t="s">
        <v>66</v>
      </c>
      <c r="C13" s="223" t="str">
        <f>'PLANILHA DEPÓSITO'!C34</f>
        <v>ESQUADRIAS</v>
      </c>
      <c r="D13" s="47">
        <f>'PLANILHA DEPÓSITO'!G34</f>
        <v>1601.15</v>
      </c>
      <c r="E13" s="48">
        <f>D13/D19</f>
        <v>6.3601779729656194E-2</v>
      </c>
      <c r="F13" s="42">
        <f t="shared" si="2"/>
        <v>403.81</v>
      </c>
      <c r="G13" s="83">
        <f t="shared" si="3"/>
        <v>2004.96</v>
      </c>
      <c r="H13" s="216">
        <v>0</v>
      </c>
      <c r="I13" s="44">
        <f t="shared" si="4"/>
        <v>0</v>
      </c>
      <c r="J13" s="216">
        <v>0</v>
      </c>
      <c r="K13" s="79">
        <f t="shared" si="0"/>
        <v>0</v>
      </c>
      <c r="L13" s="216">
        <v>0</v>
      </c>
      <c r="M13" s="79">
        <f t="shared" si="0"/>
        <v>0</v>
      </c>
      <c r="N13" s="216">
        <v>0.5</v>
      </c>
      <c r="O13" s="79">
        <f t="shared" si="0"/>
        <v>1002.48</v>
      </c>
      <c r="P13" s="216">
        <v>0.5</v>
      </c>
      <c r="Q13" s="84">
        <f t="shared" si="1"/>
        <v>1002.48</v>
      </c>
    </row>
    <row r="14" spans="2:17" x14ac:dyDescent="0.25">
      <c r="B14" s="46" t="s">
        <v>128</v>
      </c>
      <c r="C14" s="223" t="str">
        <f>'PLANILHA DEPÓSITO'!C38</f>
        <v>PINTURA</v>
      </c>
      <c r="D14" s="47">
        <f>'PLANILHA DEPÓSITO'!G38</f>
        <v>1795.16</v>
      </c>
      <c r="E14" s="48">
        <f>D14/D19</f>
        <v>7.1308353932791807E-2</v>
      </c>
      <c r="F14" s="42">
        <f t="shared" si="2"/>
        <v>452.74</v>
      </c>
      <c r="G14" s="83">
        <f t="shared" si="3"/>
        <v>2247.9</v>
      </c>
      <c r="H14" s="216">
        <v>0</v>
      </c>
      <c r="I14" s="44">
        <f t="shared" si="4"/>
        <v>0</v>
      </c>
      <c r="J14" s="216">
        <v>0</v>
      </c>
      <c r="K14" s="79">
        <f t="shared" si="0"/>
        <v>0</v>
      </c>
      <c r="L14" s="216">
        <v>0</v>
      </c>
      <c r="M14" s="79">
        <f t="shared" si="0"/>
        <v>0</v>
      </c>
      <c r="N14" s="216">
        <v>0.6</v>
      </c>
      <c r="O14" s="79">
        <f t="shared" si="0"/>
        <v>1348.74</v>
      </c>
      <c r="P14" s="216">
        <v>0.4</v>
      </c>
      <c r="Q14" s="84">
        <f t="shared" si="1"/>
        <v>899.16000000000008</v>
      </c>
    </row>
    <row r="15" spans="2:17" x14ac:dyDescent="0.25">
      <c r="B15" s="46" t="s">
        <v>133</v>
      </c>
      <c r="C15" s="223" t="str">
        <f>'PLANILHA DEPÓSITO'!C47</f>
        <v>PISO</v>
      </c>
      <c r="D15" s="47">
        <f>'PLANILHA DEPÓSITO'!G47</f>
        <v>4388.67</v>
      </c>
      <c r="E15" s="48">
        <f>D15/D19</f>
        <v>0.17432921503054069</v>
      </c>
      <c r="F15" s="42">
        <f t="shared" si="2"/>
        <v>1106.82</v>
      </c>
      <c r="G15" s="83">
        <f t="shared" si="3"/>
        <v>5495.49</v>
      </c>
      <c r="H15" s="216">
        <v>0</v>
      </c>
      <c r="I15" s="44">
        <f t="shared" si="4"/>
        <v>0</v>
      </c>
      <c r="J15" s="216">
        <v>0.5</v>
      </c>
      <c r="K15" s="79">
        <f t="shared" si="0"/>
        <v>2747.7449999999999</v>
      </c>
      <c r="L15" s="216">
        <v>0.3</v>
      </c>
      <c r="M15" s="79">
        <f t="shared" si="0"/>
        <v>1648.6469999999999</v>
      </c>
      <c r="N15" s="216">
        <v>0.2</v>
      </c>
      <c r="O15" s="79">
        <f t="shared" si="0"/>
        <v>1099.098</v>
      </c>
      <c r="P15" s="216">
        <v>0</v>
      </c>
      <c r="Q15" s="84">
        <f t="shared" si="1"/>
        <v>0</v>
      </c>
    </row>
    <row r="16" spans="2:17" s="100" customFormat="1" x14ac:dyDescent="0.25">
      <c r="B16" s="46" t="s">
        <v>513</v>
      </c>
      <c r="C16" s="224" t="str">
        <f>'PLANILHA DEPÓSITO'!C51</f>
        <v>COBERTURA</v>
      </c>
      <c r="D16" s="41">
        <f>'PLANILHA DEPÓSITO'!G51</f>
        <v>3788.22</v>
      </c>
      <c r="E16" s="48">
        <f>D16/D19</f>
        <v>0.15047780283388698</v>
      </c>
      <c r="F16" s="42">
        <f t="shared" si="2"/>
        <v>955.39</v>
      </c>
      <c r="G16" s="83">
        <f t="shared" si="3"/>
        <v>4743.6099999999997</v>
      </c>
      <c r="H16" s="216">
        <v>0</v>
      </c>
      <c r="I16" s="215">
        <f t="shared" si="4"/>
        <v>0</v>
      </c>
      <c r="J16" s="216">
        <v>0</v>
      </c>
      <c r="K16" s="215">
        <f t="shared" si="0"/>
        <v>0</v>
      </c>
      <c r="L16" s="221">
        <v>0.2</v>
      </c>
      <c r="M16" s="79">
        <f t="shared" si="0"/>
        <v>948.72199999999998</v>
      </c>
      <c r="N16" s="221">
        <v>0.8</v>
      </c>
      <c r="O16" s="79">
        <f t="shared" si="0"/>
        <v>3794.8879999999999</v>
      </c>
      <c r="P16" s="216">
        <v>0</v>
      </c>
      <c r="Q16" s="45">
        <f t="shared" si="1"/>
        <v>0</v>
      </c>
    </row>
    <row r="17" spans="2:18" s="100" customFormat="1" x14ac:dyDescent="0.25">
      <c r="B17" s="46" t="s">
        <v>516</v>
      </c>
      <c r="C17" s="224" t="str">
        <f>'PLANILHA DEPÓSITO'!C55</f>
        <v>INSTALAÇÕES ELÉTRICAS</v>
      </c>
      <c r="D17" s="41">
        <f>'PLANILHA DEPÓSITO'!G55</f>
        <v>431.04</v>
      </c>
      <c r="E17" s="48">
        <f>D17/D19</f>
        <v>1.7122013012316774E-2</v>
      </c>
      <c r="F17" s="42">
        <f t="shared" si="2"/>
        <v>108.71</v>
      </c>
      <c r="G17" s="83">
        <f t="shared" si="3"/>
        <v>539.75</v>
      </c>
      <c r="H17" s="216">
        <v>0</v>
      </c>
      <c r="I17" s="215">
        <f t="shared" si="4"/>
        <v>0</v>
      </c>
      <c r="J17" s="216">
        <v>0</v>
      </c>
      <c r="K17" s="215">
        <f t="shared" si="0"/>
        <v>0</v>
      </c>
      <c r="L17" s="221">
        <v>0.4</v>
      </c>
      <c r="M17" s="79">
        <f t="shared" si="0"/>
        <v>215.9</v>
      </c>
      <c r="N17" s="221">
        <v>0.4</v>
      </c>
      <c r="O17" s="79">
        <f t="shared" si="0"/>
        <v>215.9</v>
      </c>
      <c r="P17" s="216">
        <v>0.2</v>
      </c>
      <c r="Q17" s="45">
        <f t="shared" si="1"/>
        <v>107.95</v>
      </c>
    </row>
    <row r="18" spans="2:18" s="100" customFormat="1" ht="15.75" thickBot="1" x14ac:dyDescent="0.3">
      <c r="B18" s="225" t="s">
        <v>517</v>
      </c>
      <c r="C18" s="226" t="str">
        <f>'PLANILHA DEPÓSITO'!C67</f>
        <v>SEVIÇOS COMPLEMENTARES</v>
      </c>
      <c r="D18" s="227">
        <f>'PLANILHA DEPÓSITO'!G67</f>
        <v>329.4</v>
      </c>
      <c r="E18" s="228">
        <f>D18/D19</f>
        <v>1.3084611837085062E-2</v>
      </c>
      <c r="F18" s="229">
        <f t="shared" si="2"/>
        <v>83.07</v>
      </c>
      <c r="G18" s="230">
        <f t="shared" si="3"/>
        <v>412.47</v>
      </c>
      <c r="H18" s="231">
        <v>0</v>
      </c>
      <c r="I18" s="232">
        <f t="shared" si="4"/>
        <v>0</v>
      </c>
      <c r="J18" s="231">
        <v>0</v>
      </c>
      <c r="K18" s="232">
        <f t="shared" si="0"/>
        <v>0</v>
      </c>
      <c r="L18" s="231">
        <v>0</v>
      </c>
      <c r="M18" s="233">
        <f t="shared" si="0"/>
        <v>0</v>
      </c>
      <c r="N18" s="234">
        <v>0</v>
      </c>
      <c r="O18" s="233">
        <f t="shared" si="0"/>
        <v>0</v>
      </c>
      <c r="P18" s="231">
        <v>1</v>
      </c>
      <c r="Q18" s="235">
        <f t="shared" si="1"/>
        <v>412.47</v>
      </c>
    </row>
    <row r="19" spans="2:18" ht="16.5" x14ac:dyDescent="0.3">
      <c r="B19" s="50"/>
      <c r="C19" s="51" t="s">
        <v>25</v>
      </c>
      <c r="D19" s="52">
        <f>ROUND(SUM(D7:D15),2)</f>
        <v>25174.61</v>
      </c>
      <c r="E19" s="53">
        <f>SUM(E7:E15)</f>
        <v>0.99999999999999989</v>
      </c>
      <c r="F19" s="54">
        <f>ROUND(SUM(F7:F18),2)</f>
        <v>7496.21</v>
      </c>
      <c r="G19" s="236">
        <f>ROUND(SUM(G7:G18),2)</f>
        <v>37219.480000000003</v>
      </c>
      <c r="H19" s="194">
        <f>ROUND(I19/G19*100,2)</f>
        <v>2.58</v>
      </c>
      <c r="I19" s="237">
        <f>ROUND(SUM(I7:I18),2)</f>
        <v>961.23</v>
      </c>
      <c r="J19" s="194">
        <f>ROUND(K19/G19*100,2)</f>
        <v>30.42</v>
      </c>
      <c r="K19" s="237">
        <f>ROUND(SUM(K7:K18),2)</f>
        <v>11320.32</v>
      </c>
      <c r="L19" s="194">
        <f>ROUND(M19/G19*100,2)</f>
        <v>34.200000000000003</v>
      </c>
      <c r="M19" s="237">
        <f>ROUND(SUM(M7:M18),2)</f>
        <v>12730.18</v>
      </c>
      <c r="N19" s="194">
        <f>ROUND(O19/G19*100,2)</f>
        <v>26.29</v>
      </c>
      <c r="O19" s="237">
        <f>ROUND(SUM(O7:O18),2)</f>
        <v>9785.7000000000007</v>
      </c>
      <c r="P19" s="194">
        <f>ROUND(Q19/G19*100,2)</f>
        <v>6.51</v>
      </c>
      <c r="Q19" s="63">
        <f>ROUND(SUM(Q7:Q18),2)</f>
        <v>2422.06</v>
      </c>
    </row>
    <row r="20" spans="2:18" ht="16.5" thickBot="1" x14ac:dyDescent="0.35">
      <c r="B20" s="56"/>
      <c r="C20" s="57" t="s">
        <v>77</v>
      </c>
      <c r="D20" s="58"/>
      <c r="E20" s="58"/>
      <c r="F20" s="59"/>
      <c r="G20" s="238"/>
      <c r="H20" s="195">
        <f>ROUND(I20/G19*100,2)</f>
        <v>2.58</v>
      </c>
      <c r="I20" s="239">
        <f>I19</f>
        <v>961.23</v>
      </c>
      <c r="J20" s="195">
        <f t="shared" ref="J20:O20" si="5">ROUND(H20+J19,2)</f>
        <v>33</v>
      </c>
      <c r="K20" s="239">
        <f t="shared" si="5"/>
        <v>12281.55</v>
      </c>
      <c r="L20" s="195">
        <f t="shared" si="5"/>
        <v>67.2</v>
      </c>
      <c r="M20" s="239">
        <f t="shared" si="5"/>
        <v>25011.73</v>
      </c>
      <c r="N20" s="195">
        <f t="shared" si="5"/>
        <v>93.49</v>
      </c>
      <c r="O20" s="239">
        <f t="shared" si="5"/>
        <v>34797.43</v>
      </c>
      <c r="P20" s="195">
        <f>ROUND(N20+P19,2)</f>
        <v>100</v>
      </c>
      <c r="Q20" s="65">
        <f>ROUND(O20+Q19,2)-0.01</f>
        <v>37219.479999999996</v>
      </c>
    </row>
    <row r="23" spans="2:18" x14ac:dyDescent="0.25">
      <c r="B23" s="182"/>
      <c r="C23" s="182"/>
      <c r="D23" s="182"/>
      <c r="E23" s="182"/>
      <c r="F23" s="182"/>
      <c r="G23" s="182"/>
      <c r="H23" s="182"/>
      <c r="I23" s="182"/>
      <c r="J23" s="182"/>
      <c r="K23" s="182"/>
      <c r="L23" s="182"/>
      <c r="M23" s="182"/>
      <c r="N23" s="182"/>
      <c r="O23" s="182"/>
      <c r="P23" s="182"/>
      <c r="Q23" s="182"/>
      <c r="R23" s="182"/>
    </row>
    <row r="24" spans="2:18" x14ac:dyDescent="0.25">
      <c r="B24" s="182"/>
      <c r="C24" s="414"/>
      <c r="D24" s="414"/>
      <c r="E24" s="414"/>
      <c r="F24" s="414"/>
      <c r="G24" s="414"/>
      <c r="H24" s="414"/>
      <c r="I24" s="414"/>
      <c r="J24" s="414"/>
      <c r="K24" s="414"/>
      <c r="L24" s="414"/>
      <c r="M24" s="414"/>
      <c r="N24" s="414"/>
      <c r="O24" s="414"/>
      <c r="P24" s="414"/>
      <c r="Q24" s="414"/>
      <c r="R24" s="414"/>
    </row>
    <row r="25" spans="2:18" x14ac:dyDescent="0.25">
      <c r="B25" s="182"/>
      <c r="C25" s="182"/>
      <c r="D25" s="182"/>
      <c r="E25" s="182"/>
      <c r="F25" s="182"/>
      <c r="G25" s="182"/>
      <c r="H25" s="182"/>
      <c r="I25" s="182"/>
      <c r="J25" s="182"/>
      <c r="K25" s="182"/>
      <c r="L25" s="182"/>
      <c r="M25" s="182"/>
      <c r="N25" s="182"/>
      <c r="O25" s="182"/>
      <c r="P25" s="182"/>
      <c r="Q25" s="182"/>
      <c r="R25" s="182"/>
    </row>
    <row r="28" spans="2:18" x14ac:dyDescent="0.25">
      <c r="D28" s="240">
        <f>'PLANILHA DEPÓSITO'!G71</f>
        <v>37219.480000000003</v>
      </c>
    </row>
    <row r="29" spans="2:18" x14ac:dyDescent="0.25">
      <c r="D29" s="240">
        <f>Planilha!G68</f>
        <v>24751.52</v>
      </c>
    </row>
    <row r="30" spans="2:18" x14ac:dyDescent="0.25">
      <c r="D30" s="240">
        <f>D28+D29</f>
        <v>61971</v>
      </c>
    </row>
  </sheetData>
  <mergeCells count="15">
    <mergeCell ref="B2:Q2"/>
    <mergeCell ref="B3:Q3"/>
    <mergeCell ref="B4:Q4"/>
    <mergeCell ref="B5:B6"/>
    <mergeCell ref="C5:C6"/>
    <mergeCell ref="D5:D6"/>
    <mergeCell ref="E5:E6"/>
    <mergeCell ref="F5:F6"/>
    <mergeCell ref="G5:G6"/>
    <mergeCell ref="H5:I5"/>
    <mergeCell ref="C24:R24"/>
    <mergeCell ref="J5:K5"/>
    <mergeCell ref="P5:Q5"/>
    <mergeCell ref="L5:M5"/>
    <mergeCell ref="N5:O5"/>
  </mergeCells>
  <pageMargins left="0.78740157480314965" right="0.78740157480314965" top="0.78740157480314965" bottom="0.78740157480314965" header="0" footer="0"/>
  <pageSetup paperSize="9" scale="58" orientation="landscape" verticalDpi="0"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tabSelected="1" view="pageBreakPreview" zoomScaleNormal="100" zoomScaleSheetLayoutView="100" workbookViewId="0">
      <selection activeCell="A6" sqref="A6:C7"/>
    </sheetView>
  </sheetViews>
  <sheetFormatPr defaultRowHeight="15" x14ac:dyDescent="0.25"/>
  <cols>
    <col min="2" max="2" width="16.85546875" customWidth="1"/>
    <col min="3" max="3" width="59.140625" customWidth="1"/>
    <col min="6" max="6" width="23.7109375" bestFit="1" customWidth="1"/>
    <col min="7" max="7" width="13.140625" bestFit="1" customWidth="1"/>
  </cols>
  <sheetData>
    <row r="1" spans="1:7" ht="67.5" customHeight="1" thickBot="1" x14ac:dyDescent="0.3">
      <c r="A1" s="130"/>
      <c r="B1" s="131"/>
      <c r="C1" s="132"/>
      <c r="D1" s="133"/>
      <c r="E1" s="134"/>
      <c r="F1" s="135"/>
      <c r="G1" s="136"/>
    </row>
    <row r="2" spans="1:7" ht="16.5" thickBot="1" x14ac:dyDescent="0.3">
      <c r="A2" s="354" t="s">
        <v>15</v>
      </c>
      <c r="B2" s="355"/>
      <c r="C2" s="355"/>
      <c r="D2" s="355"/>
      <c r="E2" s="355"/>
      <c r="F2" s="355"/>
      <c r="G2" s="356"/>
    </row>
    <row r="3" spans="1:7" ht="15.75" x14ac:dyDescent="0.25">
      <c r="A3" s="357" t="s">
        <v>530</v>
      </c>
      <c r="B3" s="358"/>
      <c r="C3" s="358"/>
      <c r="D3" s="358"/>
      <c r="E3" s="358"/>
      <c r="F3" s="358"/>
      <c r="G3" s="359"/>
    </row>
    <row r="4" spans="1:7" ht="23.25" customHeight="1" thickBot="1" x14ac:dyDescent="0.3">
      <c r="A4" s="372" t="s">
        <v>521</v>
      </c>
      <c r="B4" s="370"/>
      <c r="C4" s="370"/>
      <c r="D4" s="192"/>
      <c r="E4" s="370"/>
      <c r="F4" s="370"/>
      <c r="G4" s="474"/>
    </row>
    <row r="5" spans="1:7" s="205" customFormat="1" ht="15.75" x14ac:dyDescent="0.25">
      <c r="A5" s="245"/>
      <c r="B5" s="241"/>
      <c r="C5" s="241"/>
      <c r="D5" s="242"/>
      <c r="E5" s="241"/>
      <c r="F5" s="241"/>
      <c r="G5" s="246" t="s">
        <v>531</v>
      </c>
    </row>
    <row r="6" spans="1:7" x14ac:dyDescent="0.25">
      <c r="A6" s="461" t="str">
        <f>'PLANILHA DEPÓSITO'!A3:G3</f>
        <v>OBRA: REFORMA - DEPÓSITO - ESCOLA ARUANDA - IFPB.</v>
      </c>
      <c r="B6" s="462"/>
      <c r="C6" s="462"/>
      <c r="D6" s="243"/>
      <c r="E6" s="243"/>
      <c r="F6" s="243"/>
      <c r="G6" s="465">
        <f>'PLANILHA DEPÓSITO'!G71</f>
        <v>37219.480000000003</v>
      </c>
    </row>
    <row r="7" spans="1:7" x14ac:dyDescent="0.25">
      <c r="A7" s="475"/>
      <c r="B7" s="476"/>
      <c r="C7" s="476"/>
      <c r="D7" s="244"/>
      <c r="E7" s="244"/>
      <c r="F7" s="244"/>
      <c r="G7" s="466"/>
    </row>
    <row r="8" spans="1:7" x14ac:dyDescent="0.25">
      <c r="A8" s="461" t="str">
        <f>Planilha!A3</f>
        <v>OBRA: REFORMA - SALA - ESCOLA ARUANDA - IFPB.</v>
      </c>
      <c r="B8" s="462"/>
      <c r="C8" s="462"/>
      <c r="D8" s="243"/>
      <c r="E8" s="243"/>
      <c r="F8" s="243"/>
      <c r="G8" s="465">
        <f>Planilha!G68</f>
        <v>24751.52</v>
      </c>
    </row>
    <row r="9" spans="1:7" ht="15.75" thickBot="1" x14ac:dyDescent="0.3">
      <c r="A9" s="463"/>
      <c r="B9" s="464"/>
      <c r="C9" s="464"/>
      <c r="D9" s="182"/>
      <c r="E9" s="182"/>
      <c r="F9" s="182"/>
      <c r="G9" s="467"/>
    </row>
    <row r="10" spans="1:7" x14ac:dyDescent="0.25">
      <c r="A10" s="468" t="s">
        <v>532</v>
      </c>
      <c r="B10" s="469"/>
      <c r="C10" s="469"/>
      <c r="D10" s="247"/>
      <c r="E10" s="247"/>
      <c r="F10" s="247"/>
      <c r="G10" s="472">
        <f>ROUND(G6+G8,2)</f>
        <v>61971</v>
      </c>
    </row>
    <row r="11" spans="1:7" ht="15.75" thickBot="1" x14ac:dyDescent="0.3">
      <c r="A11" s="470"/>
      <c r="B11" s="471"/>
      <c r="C11" s="471"/>
      <c r="D11" s="248"/>
      <c r="E11" s="248"/>
      <c r="F11" s="248"/>
      <c r="G11" s="473"/>
    </row>
  </sheetData>
  <mergeCells count="10">
    <mergeCell ref="A2:G2"/>
    <mergeCell ref="A3:G3"/>
    <mergeCell ref="A4:C4"/>
    <mergeCell ref="E4:G4"/>
    <mergeCell ref="A6:C7"/>
    <mergeCell ref="A8:C9"/>
    <mergeCell ref="G6:G7"/>
    <mergeCell ref="G8:G9"/>
    <mergeCell ref="A10:C11"/>
    <mergeCell ref="G10:G11"/>
  </mergeCells>
  <pageMargins left="0.78740157480314965" right="0.78740157480314965" top="0.78740157480314965" bottom="0.78740157480314965" header="0" footer="0"/>
  <pageSetup paperSize="9" scale="91" orientation="landscape" verticalDpi="0" r:id="rId1"/>
  <drawing r:id="rId2"/>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0"/>
  <sheetViews>
    <sheetView view="pageBreakPreview" zoomScaleNormal="100" zoomScaleSheetLayoutView="100" workbookViewId="0">
      <selection activeCell="F25" sqref="F25"/>
    </sheetView>
  </sheetViews>
  <sheetFormatPr defaultRowHeight="15" x14ac:dyDescent="0.25"/>
  <cols>
    <col min="6" max="6" width="23.7109375" bestFit="1" customWidth="1"/>
    <col min="7" max="7" width="11.28515625" bestFit="1" customWidth="1"/>
    <col min="8" max="8" width="16.85546875" bestFit="1" customWidth="1"/>
    <col min="9" max="9" width="18.7109375" bestFit="1" customWidth="1"/>
  </cols>
  <sheetData>
    <row r="1" spans="2:9" ht="15.75" thickBot="1" x14ac:dyDescent="0.3"/>
    <row r="2" spans="2:9" ht="15.75" x14ac:dyDescent="0.25">
      <c r="B2" s="400" t="s">
        <v>68</v>
      </c>
      <c r="C2" s="401"/>
      <c r="D2" s="401"/>
      <c r="E2" s="401"/>
      <c r="F2" s="401"/>
      <c r="G2" s="401"/>
      <c r="H2" s="401"/>
      <c r="I2" s="402"/>
    </row>
    <row r="3" spans="2:9" x14ac:dyDescent="0.25">
      <c r="B3" s="403" t="str">
        <f>Planilha!A2</f>
        <v>REITORIA</v>
      </c>
      <c r="C3" s="404"/>
      <c r="D3" s="404"/>
      <c r="E3" s="404"/>
      <c r="F3" s="404"/>
      <c r="G3" s="404"/>
      <c r="H3" s="404"/>
      <c r="I3" s="405"/>
    </row>
    <row r="4" spans="2:9" x14ac:dyDescent="0.25">
      <c r="B4" s="25" t="s">
        <v>522</v>
      </c>
      <c r="C4" s="26"/>
      <c r="D4" s="26"/>
      <c r="E4" s="26"/>
      <c r="F4" s="26"/>
      <c r="G4" s="26"/>
      <c r="H4" s="26"/>
      <c r="I4" s="27"/>
    </row>
    <row r="5" spans="2:9" ht="16.5" x14ac:dyDescent="0.25">
      <c r="B5" s="66" t="s">
        <v>1</v>
      </c>
      <c r="C5" s="406" t="s">
        <v>3</v>
      </c>
      <c r="D5" s="406"/>
      <c r="E5" s="406"/>
      <c r="F5" s="67" t="s">
        <v>69</v>
      </c>
      <c r="G5" s="67" t="s">
        <v>70</v>
      </c>
      <c r="H5" s="68" t="s">
        <v>141</v>
      </c>
      <c r="I5" s="69" t="s">
        <v>7</v>
      </c>
    </row>
    <row r="6" spans="2:9" x14ac:dyDescent="0.25">
      <c r="B6" s="193" t="s">
        <v>9</v>
      </c>
      <c r="C6" s="407" t="str">
        <f>'PLANILHA DEPÓSITO'!C7</f>
        <v>SERVIÇOS PRELIMINARES</v>
      </c>
      <c r="D6" s="407"/>
      <c r="E6" s="407"/>
      <c r="F6" s="78">
        <f>'PLANILHA DEPÓSITO'!G7</f>
        <v>163.88</v>
      </c>
      <c r="G6" s="28">
        <f>F6/F18*100</f>
        <v>0.55135252615206864</v>
      </c>
      <c r="H6" s="2">
        <f>F6*0.2522</f>
        <v>41.330535999999995</v>
      </c>
      <c r="I6" s="29">
        <f>F6+H6</f>
        <v>205.21053599999999</v>
      </c>
    </row>
    <row r="7" spans="2:9" x14ac:dyDescent="0.25">
      <c r="B7" s="193" t="s">
        <v>12</v>
      </c>
      <c r="C7" s="407" t="str">
        <f>'PLANILHA DEPÓSITO'!C10</f>
        <v>MOVIMENTO DE TERRA</v>
      </c>
      <c r="D7" s="407"/>
      <c r="E7" s="407"/>
      <c r="F7" s="78">
        <f>'PLANILHA DEPÓSITO'!G10</f>
        <v>1006.26</v>
      </c>
      <c r="G7" s="28">
        <f>F7/F18*100</f>
        <v>3.385428319293267</v>
      </c>
      <c r="H7" s="2">
        <f t="shared" ref="H7:H17" si="0">F7*0.2522</f>
        <v>253.77877199999998</v>
      </c>
      <c r="I7" s="29">
        <f t="shared" ref="I7:I17" si="1">F7+H7</f>
        <v>1260.0387719999999</v>
      </c>
    </row>
    <row r="8" spans="2:9" x14ac:dyDescent="0.25">
      <c r="B8" s="193" t="s">
        <v>17</v>
      </c>
      <c r="C8" s="393" t="str">
        <f>'PLANILHA DEPÓSITO'!C14</f>
        <v>FUNDAÇÃO</v>
      </c>
      <c r="D8" s="393"/>
      <c r="E8" s="393"/>
      <c r="F8" s="78">
        <f>'PLANILHA DEPÓSITO'!G14</f>
        <v>3946.12</v>
      </c>
      <c r="G8" s="28">
        <f>F8/F18*100</f>
        <v>13.276197403583117</v>
      </c>
      <c r="H8" s="2">
        <f t="shared" si="0"/>
        <v>995.21146399999986</v>
      </c>
      <c r="I8" s="29">
        <f t="shared" si="1"/>
        <v>4941.3314639999999</v>
      </c>
    </row>
    <row r="9" spans="2:9" x14ac:dyDescent="0.25">
      <c r="B9" s="193" t="s">
        <v>19</v>
      </c>
      <c r="C9" s="393" t="str">
        <f>'PLANILHA DEPÓSITO'!C19</f>
        <v>ALVENARIA</v>
      </c>
      <c r="D9" s="393"/>
      <c r="E9" s="393"/>
      <c r="F9" s="78">
        <f>'PLANILHA DEPÓSITO'!G19</f>
        <v>2219.65</v>
      </c>
      <c r="G9" s="28">
        <f>F9/F18*100</f>
        <v>7.4677180539018746</v>
      </c>
      <c r="H9" s="2">
        <f t="shared" si="0"/>
        <v>559.79572999999993</v>
      </c>
      <c r="I9" s="29">
        <f t="shared" si="1"/>
        <v>2779.4457299999999</v>
      </c>
    </row>
    <row r="10" spans="2:9" x14ac:dyDescent="0.25">
      <c r="B10" s="193" t="s">
        <v>57</v>
      </c>
      <c r="C10" s="397" t="str">
        <f>'PLANILHA DEPÓSITO'!C21</f>
        <v>ESTRUTURA</v>
      </c>
      <c r="D10" s="398"/>
      <c r="E10" s="399"/>
      <c r="F10" s="78">
        <f>'PLANILHA DEPÓSITO'!G21</f>
        <v>6340.91</v>
      </c>
      <c r="G10" s="28">
        <f>F10/F18*100</f>
        <v>21.333150760330202</v>
      </c>
      <c r="H10" s="2">
        <f t="shared" si="0"/>
        <v>1599.1775019999998</v>
      </c>
      <c r="I10" s="29">
        <f t="shared" si="1"/>
        <v>7940.0875019999994</v>
      </c>
    </row>
    <row r="11" spans="2:9" x14ac:dyDescent="0.25">
      <c r="B11" s="193" t="s">
        <v>62</v>
      </c>
      <c r="C11" s="393" t="str">
        <f>'PLANILHA DEPÓSITO'!C29</f>
        <v>REVESTIMENTO</v>
      </c>
      <c r="D11" s="393"/>
      <c r="E11" s="393"/>
      <c r="F11" s="78">
        <f>'PLANILHA DEPÓSITO'!G29</f>
        <v>3712.81</v>
      </c>
      <c r="G11" s="28">
        <f>F11/F18*100</f>
        <v>12.49125685027253</v>
      </c>
      <c r="H11" s="2">
        <f t="shared" si="0"/>
        <v>936.37068199999987</v>
      </c>
      <c r="I11" s="29">
        <f t="shared" si="1"/>
        <v>4649.1806820000002</v>
      </c>
    </row>
    <row r="12" spans="2:9" x14ac:dyDescent="0.25">
      <c r="B12" s="193" t="s">
        <v>66</v>
      </c>
      <c r="C12" s="397" t="str">
        <f>'PLANILHA DEPÓSITO'!C34</f>
        <v>ESQUADRIAS</v>
      </c>
      <c r="D12" s="398"/>
      <c r="E12" s="399"/>
      <c r="F12" s="78">
        <f>'PLANILHA DEPÓSITO'!G34</f>
        <v>1601.15</v>
      </c>
      <c r="G12" s="28">
        <f>F12/F18*100</f>
        <v>5.3868568296826025</v>
      </c>
      <c r="H12" s="2">
        <f t="shared" si="0"/>
        <v>403.81002999999998</v>
      </c>
      <c r="I12" s="29">
        <f t="shared" si="1"/>
        <v>2004.9600300000002</v>
      </c>
    </row>
    <row r="13" spans="2:9" x14ac:dyDescent="0.25">
      <c r="B13" s="193" t="s">
        <v>128</v>
      </c>
      <c r="C13" s="394" t="str">
        <f>'PLANILHA DEPÓSITO'!C38</f>
        <v>PINTURA</v>
      </c>
      <c r="D13" s="395"/>
      <c r="E13" s="396"/>
      <c r="F13" s="78">
        <f>'PLANILHA DEPÓSITO'!G38</f>
        <v>1795.16</v>
      </c>
      <c r="G13" s="28">
        <f>F13/F18*100</f>
        <v>6.0395777449789332</v>
      </c>
      <c r="H13" s="2">
        <f t="shared" si="0"/>
        <v>452.739352</v>
      </c>
      <c r="I13" s="29">
        <f t="shared" si="1"/>
        <v>2247.8993519999999</v>
      </c>
    </row>
    <row r="14" spans="2:9" x14ac:dyDescent="0.25">
      <c r="B14" s="193" t="s">
        <v>133</v>
      </c>
      <c r="C14" s="394" t="str">
        <f>'PLANILHA DEPÓSITO'!C47</f>
        <v>PISO</v>
      </c>
      <c r="D14" s="395"/>
      <c r="E14" s="396"/>
      <c r="F14" s="78">
        <f>'PLANILHA DEPÓSITO'!G47</f>
        <v>4388.67</v>
      </c>
      <c r="G14" s="28">
        <f>F14/F18*100</f>
        <v>14.765098187379785</v>
      </c>
      <c r="H14" s="2">
        <f t="shared" si="0"/>
        <v>1106.822574</v>
      </c>
      <c r="I14" s="29">
        <f t="shared" si="1"/>
        <v>5495.4925739999999</v>
      </c>
    </row>
    <row r="15" spans="2:9" x14ac:dyDescent="0.25">
      <c r="B15" s="193" t="s">
        <v>513</v>
      </c>
      <c r="C15" s="394" t="str">
        <f>'PLANILHA DEPÓSITO'!C51</f>
        <v>COBERTURA</v>
      </c>
      <c r="D15" s="395"/>
      <c r="E15" s="396"/>
      <c r="F15" s="78">
        <f>'PLANILHA DEPÓSITO'!G51</f>
        <v>3788.22</v>
      </c>
      <c r="G15" s="28">
        <f>F15/F18*100</f>
        <v>12.744963794360443</v>
      </c>
      <c r="H15" s="2">
        <f t="shared" si="0"/>
        <v>955.38908399999991</v>
      </c>
      <c r="I15" s="29">
        <f t="shared" si="1"/>
        <v>4743.6090839999997</v>
      </c>
    </row>
    <row r="16" spans="2:9" s="220" customFormat="1" ht="15" customHeight="1" x14ac:dyDescent="0.25">
      <c r="B16" s="193" t="s">
        <v>516</v>
      </c>
      <c r="C16" s="394" t="str">
        <f>'PLANILHA DEPÓSITO'!C55</f>
        <v>INSTALAÇÕES ELÉTRICAS</v>
      </c>
      <c r="D16" s="395"/>
      <c r="E16" s="396"/>
      <c r="F16" s="78">
        <f>'PLANILHA DEPÓSITO'!G55</f>
        <v>431.04</v>
      </c>
      <c r="G16" s="28">
        <f>F16/F18*100</f>
        <v>1.4501769152586508</v>
      </c>
      <c r="H16" s="2">
        <f t="shared" si="0"/>
        <v>108.708288</v>
      </c>
      <c r="I16" s="29">
        <f t="shared" si="1"/>
        <v>539.748288</v>
      </c>
    </row>
    <row r="17" spans="2:9" s="220" customFormat="1" ht="15" customHeight="1" x14ac:dyDescent="0.25">
      <c r="B17" s="193" t="s">
        <v>517</v>
      </c>
      <c r="C17" s="394" t="str">
        <f>'PLANILHA DEPÓSITO'!C67</f>
        <v>SEVIÇOS COMPLEMENTARES</v>
      </c>
      <c r="D17" s="395"/>
      <c r="E17" s="396"/>
      <c r="F17" s="78">
        <f>'PLANILHA DEPÓSITO'!G67</f>
        <v>329.4</v>
      </c>
      <c r="G17" s="28">
        <f>F17/F18*100</f>
        <v>1.1082226148065133</v>
      </c>
      <c r="H17" s="2">
        <f t="shared" si="0"/>
        <v>83.074679999999987</v>
      </c>
      <c r="I17" s="29">
        <f t="shared" si="1"/>
        <v>412.47467999999998</v>
      </c>
    </row>
    <row r="18" spans="2:9" x14ac:dyDescent="0.25">
      <c r="B18" s="30"/>
      <c r="C18" s="386" t="s">
        <v>11</v>
      </c>
      <c r="D18" s="387"/>
      <c r="E18" s="31"/>
      <c r="F18" s="32">
        <f>SUM(F6:F17)</f>
        <v>29723.270000000004</v>
      </c>
      <c r="G18" s="33">
        <f>SUM(G6:G17)</f>
        <v>99.999999999999986</v>
      </c>
      <c r="H18" s="31"/>
      <c r="I18" s="390">
        <f>ROUND(SUM(I6:I17),2)</f>
        <v>37219.480000000003</v>
      </c>
    </row>
    <row r="19" spans="2:9" x14ac:dyDescent="0.25">
      <c r="B19" s="30"/>
      <c r="C19" s="386" t="s">
        <v>141</v>
      </c>
      <c r="D19" s="387"/>
      <c r="E19" s="31"/>
      <c r="F19" s="32">
        <f>ROUND(0.2522*F18,2)</f>
        <v>7496.21</v>
      </c>
      <c r="G19" s="31"/>
      <c r="H19" s="31"/>
      <c r="I19" s="391"/>
    </row>
    <row r="20" spans="2:9" ht="15.75" thickBot="1" x14ac:dyDescent="0.3">
      <c r="B20" s="34"/>
      <c r="C20" s="388" t="s">
        <v>25</v>
      </c>
      <c r="D20" s="389"/>
      <c r="E20" s="35"/>
      <c r="F20" s="36">
        <f>ROUND(SUM(F18:F19),2)</f>
        <v>37219.480000000003</v>
      </c>
      <c r="G20" s="37"/>
      <c r="H20" s="37"/>
      <c r="I20" s="392"/>
    </row>
  </sheetData>
  <mergeCells count="19">
    <mergeCell ref="C15:E15"/>
    <mergeCell ref="C18:D18"/>
    <mergeCell ref="I18:I20"/>
    <mergeCell ref="C19:D19"/>
    <mergeCell ref="C20:D20"/>
    <mergeCell ref="C16:E16"/>
    <mergeCell ref="C17:E17"/>
    <mergeCell ref="C14:E14"/>
    <mergeCell ref="B2:I2"/>
    <mergeCell ref="B3:I3"/>
    <mergeCell ref="C5:E5"/>
    <mergeCell ref="C6:E6"/>
    <mergeCell ref="C7:E7"/>
    <mergeCell ref="C8:E8"/>
    <mergeCell ref="C9:E9"/>
    <mergeCell ref="C10:E10"/>
    <mergeCell ref="C11:E11"/>
    <mergeCell ref="C12:E12"/>
    <mergeCell ref="C13:E13"/>
  </mergeCells>
  <pageMargins left="0.78740157480314965" right="0.78740157480314965" top="0.78740157480314965" bottom="0.78740157480314965" header="0" footer="0"/>
  <pageSetup paperSize="9" scale="7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5"/>
  <dimension ref="B1:M25"/>
  <sheetViews>
    <sheetView view="pageBreakPreview" topLeftCell="C1" zoomScaleNormal="100" zoomScaleSheetLayoutView="100" workbookViewId="0">
      <selection activeCell="H23" sqref="H23"/>
    </sheetView>
  </sheetViews>
  <sheetFormatPr defaultRowHeight="15" x14ac:dyDescent="0.25"/>
  <cols>
    <col min="3" max="3" width="51.42578125" bestFit="1" customWidth="1"/>
    <col min="4" max="4" width="13.7109375" bestFit="1" customWidth="1"/>
    <col min="6" max="6" width="11.85546875" bestFit="1" customWidth="1"/>
    <col min="7" max="7" width="18.7109375" bestFit="1" customWidth="1"/>
    <col min="9" max="9" width="10.5703125" bestFit="1" customWidth="1"/>
    <col min="10" max="11" width="10.5703125" customWidth="1"/>
    <col min="13" max="13" width="10.5703125" bestFit="1" customWidth="1"/>
  </cols>
  <sheetData>
    <row r="1" spans="2:13" ht="15.75" thickBot="1" x14ac:dyDescent="0.3"/>
    <row r="2" spans="2:13" ht="20.25" thickBot="1" x14ac:dyDescent="0.3">
      <c r="B2" s="410" t="s">
        <v>71</v>
      </c>
      <c r="C2" s="411"/>
      <c r="D2" s="411"/>
      <c r="E2" s="411"/>
      <c r="F2" s="411"/>
      <c r="G2" s="411"/>
      <c r="H2" s="411"/>
      <c r="I2" s="411"/>
      <c r="J2" s="411"/>
      <c r="K2" s="411"/>
      <c r="L2" s="411"/>
      <c r="M2" s="412"/>
    </row>
    <row r="3" spans="2:13" x14ac:dyDescent="0.25">
      <c r="B3" s="413" t="str">
        <f>Planilha!A3</f>
        <v>OBRA: REFORMA - SALA - ESCOLA ARUANDA - IFPB.</v>
      </c>
      <c r="C3" s="414"/>
      <c r="D3" s="414"/>
      <c r="E3" s="414"/>
      <c r="F3" s="414"/>
      <c r="G3" s="414"/>
      <c r="H3" s="414"/>
      <c r="I3" s="414"/>
      <c r="J3" s="414"/>
      <c r="K3" s="414"/>
      <c r="L3" s="414"/>
      <c r="M3" s="415"/>
    </row>
    <row r="4" spans="2:13" ht="15.75" thickBot="1" x14ac:dyDescent="0.3">
      <c r="B4" s="416" t="str">
        <f>Planilha!A4</f>
        <v>MÊS REFERÊNCIA DA PROPOSTA: MARÇO/2018</v>
      </c>
      <c r="C4" s="417"/>
      <c r="D4" s="417"/>
      <c r="E4" s="417"/>
      <c r="F4" s="417"/>
      <c r="G4" s="417"/>
      <c r="H4" s="417"/>
      <c r="I4" s="417"/>
      <c r="J4" s="417"/>
      <c r="K4" s="417"/>
      <c r="L4" s="417"/>
      <c r="M4" s="418"/>
    </row>
    <row r="5" spans="2:13" ht="15.75" x14ac:dyDescent="0.3">
      <c r="B5" s="419" t="s">
        <v>1</v>
      </c>
      <c r="C5" s="421" t="s">
        <v>3</v>
      </c>
      <c r="D5" s="423" t="s">
        <v>72</v>
      </c>
      <c r="E5" s="425" t="s">
        <v>70</v>
      </c>
      <c r="F5" s="427" t="s">
        <v>141</v>
      </c>
      <c r="G5" s="429" t="s">
        <v>73</v>
      </c>
      <c r="H5" s="431" t="s">
        <v>74</v>
      </c>
      <c r="I5" s="431"/>
      <c r="J5" s="432" t="s">
        <v>75</v>
      </c>
      <c r="K5" s="408"/>
      <c r="L5" s="408" t="s">
        <v>142</v>
      </c>
      <c r="M5" s="409"/>
    </row>
    <row r="6" spans="2:13" ht="16.5" thickBot="1" x14ac:dyDescent="0.35">
      <c r="B6" s="420"/>
      <c r="C6" s="422"/>
      <c r="D6" s="424"/>
      <c r="E6" s="426"/>
      <c r="F6" s="428"/>
      <c r="G6" s="430"/>
      <c r="H6" s="38" t="s">
        <v>70</v>
      </c>
      <c r="I6" s="38" t="s">
        <v>76</v>
      </c>
      <c r="J6" s="39"/>
      <c r="K6" s="39"/>
      <c r="L6" s="39" t="s">
        <v>70</v>
      </c>
      <c r="M6" s="40" t="s">
        <v>76</v>
      </c>
    </row>
    <row r="7" spans="2:13" x14ac:dyDescent="0.25">
      <c r="B7" s="80" t="s">
        <v>9</v>
      </c>
      <c r="C7" s="81" t="str">
        <f>'ORÇAMENTO RESUMO'!C7:E7</f>
        <v>SERVIÇOS PRELIMINARES</v>
      </c>
      <c r="D7" s="41">
        <f>Planilha!G7</f>
        <v>142.25</v>
      </c>
      <c r="E7" s="82">
        <f>D7/D17</f>
        <v>7.1965448490192716E-3</v>
      </c>
      <c r="F7" s="42">
        <f>ROUND(D7*0.2522,2)</f>
        <v>35.880000000000003</v>
      </c>
      <c r="G7" s="83">
        <f>ROUND(D7+F7,2)</f>
        <v>178.13</v>
      </c>
      <c r="H7" s="43">
        <v>1</v>
      </c>
      <c r="I7" s="44">
        <f>G7*H7</f>
        <v>178.13</v>
      </c>
      <c r="J7" s="43">
        <v>0</v>
      </c>
      <c r="K7" s="44">
        <f t="shared" ref="K7:K16" si="0">$G7*J7</f>
        <v>0</v>
      </c>
      <c r="L7" s="43">
        <v>0</v>
      </c>
      <c r="M7" s="45">
        <f t="shared" ref="M7:M16" si="1">$G7*L7</f>
        <v>0</v>
      </c>
    </row>
    <row r="8" spans="2:13" x14ac:dyDescent="0.25">
      <c r="B8" s="46" t="s">
        <v>12</v>
      </c>
      <c r="C8" s="2" t="str">
        <f>'ORÇAMENTO RESUMO'!C8:E8</f>
        <v>ALVENARIAS DE VEDAÇÃO E DIVISÓRIAS</v>
      </c>
      <c r="D8" s="47">
        <f>Planilha!G10</f>
        <v>2597.1975000000002</v>
      </c>
      <c r="E8" s="48">
        <f>D8/D17</f>
        <v>0.13139436408091903</v>
      </c>
      <c r="F8" s="42">
        <f t="shared" ref="F8:F16" si="2">ROUND(D8*0.2522,2)</f>
        <v>655.01</v>
      </c>
      <c r="G8" s="83">
        <f t="shared" ref="G8:G16" si="3">ROUND(D8+F8,2)</f>
        <v>3252.21</v>
      </c>
      <c r="H8" s="43">
        <v>0.6</v>
      </c>
      <c r="I8" s="44">
        <f t="shared" ref="I8:I16" si="4">G8*H8</f>
        <v>1951.326</v>
      </c>
      <c r="J8" s="49">
        <v>0.4</v>
      </c>
      <c r="K8" s="79">
        <f t="shared" si="0"/>
        <v>1300.884</v>
      </c>
      <c r="L8" s="49">
        <v>0</v>
      </c>
      <c r="M8" s="84">
        <f t="shared" si="1"/>
        <v>0</v>
      </c>
    </row>
    <row r="9" spans="2:13" x14ac:dyDescent="0.25">
      <c r="B9" s="46" t="s">
        <v>17</v>
      </c>
      <c r="C9" s="2" t="str">
        <f>'ORÇAMENTO RESUMO'!C9:E9</f>
        <v xml:space="preserve">ESQUADRIAS </v>
      </c>
      <c r="D9" s="47">
        <f>Planilha!G15</f>
        <v>1886.42</v>
      </c>
      <c r="E9" s="48">
        <f>D9/D17</f>
        <v>9.5435544000611133E-2</v>
      </c>
      <c r="F9" s="42">
        <f t="shared" si="2"/>
        <v>475.76</v>
      </c>
      <c r="G9" s="83">
        <f t="shared" si="3"/>
        <v>2362.1799999999998</v>
      </c>
      <c r="H9" s="49">
        <v>0.5</v>
      </c>
      <c r="I9" s="44">
        <f t="shared" si="4"/>
        <v>1181.0899999999999</v>
      </c>
      <c r="J9" s="49">
        <v>0.5</v>
      </c>
      <c r="K9" s="79">
        <f t="shared" si="0"/>
        <v>1181.0899999999999</v>
      </c>
      <c r="L9" s="49">
        <v>0</v>
      </c>
      <c r="M9" s="84">
        <f t="shared" si="1"/>
        <v>0</v>
      </c>
    </row>
    <row r="10" spans="2:13" x14ac:dyDescent="0.25">
      <c r="B10" s="46" t="s">
        <v>19</v>
      </c>
      <c r="C10" s="2" t="str">
        <f>'ORÇAMENTO RESUMO'!C10:E10</f>
        <v>REVESTIMENTO</v>
      </c>
      <c r="D10" s="47">
        <f>Planilha!G19</f>
        <v>803.58616666666671</v>
      </c>
      <c r="E10" s="48">
        <f>D10/D17</f>
        <v>4.0654087089406973E-2</v>
      </c>
      <c r="F10" s="42">
        <f t="shared" si="2"/>
        <v>202.66</v>
      </c>
      <c r="G10" s="83">
        <f t="shared" si="3"/>
        <v>1006.25</v>
      </c>
      <c r="H10" s="49">
        <v>0.2</v>
      </c>
      <c r="I10" s="44">
        <f t="shared" si="4"/>
        <v>201.25</v>
      </c>
      <c r="J10" s="49">
        <v>0.8</v>
      </c>
      <c r="K10" s="79">
        <f t="shared" si="0"/>
        <v>805</v>
      </c>
      <c r="L10" s="49">
        <v>0</v>
      </c>
      <c r="M10" s="84">
        <f t="shared" si="1"/>
        <v>0</v>
      </c>
    </row>
    <row r="11" spans="2:13" x14ac:dyDescent="0.25">
      <c r="B11" s="46" t="s">
        <v>57</v>
      </c>
      <c r="C11" s="2" t="str">
        <f>Planilha!C24</f>
        <v>PINTURA</v>
      </c>
      <c r="D11" s="47">
        <f>Planilha!G24</f>
        <v>1699.62275</v>
      </c>
      <c r="E11" s="48">
        <f>D11/D17</f>
        <v>8.5985317024874997E-2</v>
      </c>
      <c r="F11" s="42">
        <f t="shared" si="2"/>
        <v>428.64</v>
      </c>
      <c r="G11" s="83">
        <f t="shared" si="3"/>
        <v>2128.2600000000002</v>
      </c>
      <c r="H11" s="49">
        <v>0</v>
      </c>
      <c r="I11" s="44">
        <f t="shared" si="4"/>
        <v>0</v>
      </c>
      <c r="J11" s="49">
        <v>0.4</v>
      </c>
      <c r="K11" s="79">
        <f t="shared" si="0"/>
        <v>851.30400000000009</v>
      </c>
      <c r="L11" s="49">
        <v>0.6</v>
      </c>
      <c r="M11" s="84">
        <f t="shared" si="1"/>
        <v>1276.9560000000001</v>
      </c>
    </row>
    <row r="12" spans="2:13" x14ac:dyDescent="0.25">
      <c r="B12" s="46" t="s">
        <v>62</v>
      </c>
      <c r="C12" s="2" t="str">
        <f>Planilha!C30</f>
        <v>PISO</v>
      </c>
      <c r="D12" s="47">
        <f>Planilha!G30</f>
        <v>513.15</v>
      </c>
      <c r="E12" s="48">
        <f>D12/D17</f>
        <v>2.5960681822666004E-2</v>
      </c>
      <c r="F12" s="42">
        <f t="shared" si="2"/>
        <v>129.41999999999999</v>
      </c>
      <c r="G12" s="83">
        <f t="shared" si="3"/>
        <v>642.57000000000005</v>
      </c>
      <c r="H12" s="49">
        <v>0</v>
      </c>
      <c r="I12" s="44">
        <f t="shared" si="4"/>
        <v>0</v>
      </c>
      <c r="J12" s="49">
        <v>1</v>
      </c>
      <c r="K12" s="79">
        <f t="shared" si="0"/>
        <v>642.57000000000005</v>
      </c>
      <c r="L12" s="49">
        <v>0</v>
      </c>
      <c r="M12" s="84">
        <f t="shared" si="1"/>
        <v>0</v>
      </c>
    </row>
    <row r="13" spans="2:13" x14ac:dyDescent="0.25">
      <c r="B13" s="46" t="s">
        <v>66</v>
      </c>
      <c r="C13" s="2" t="str">
        <f>Planilha!C32</f>
        <v xml:space="preserve">INSTALAÇÕES ELÉTRICAS </v>
      </c>
      <c r="D13" s="47">
        <f>Planilha!G32</f>
        <v>8149.57</v>
      </c>
      <c r="E13" s="48">
        <f>D13/D17</f>
        <v>0.41229346928099814</v>
      </c>
      <c r="F13" s="42">
        <f t="shared" si="2"/>
        <v>2055.3200000000002</v>
      </c>
      <c r="G13" s="83">
        <f t="shared" si="3"/>
        <v>10204.89</v>
      </c>
      <c r="H13" s="49">
        <v>0.1</v>
      </c>
      <c r="I13" s="44">
        <f t="shared" si="4"/>
        <v>1020.489</v>
      </c>
      <c r="J13" s="49">
        <v>0.4</v>
      </c>
      <c r="K13" s="79">
        <f t="shared" si="0"/>
        <v>4081.9560000000001</v>
      </c>
      <c r="L13" s="49">
        <v>0.5</v>
      </c>
      <c r="M13" s="84">
        <f t="shared" si="1"/>
        <v>5102.4449999999997</v>
      </c>
    </row>
    <row r="14" spans="2:13" x14ac:dyDescent="0.25">
      <c r="B14" s="46" t="s">
        <v>128</v>
      </c>
      <c r="C14" s="2" t="str">
        <f>Planilha!C56</f>
        <v>CLIMATIZAÇÃO</v>
      </c>
      <c r="D14" s="47">
        <f>Planilha!G56</f>
        <v>1365.08</v>
      </c>
      <c r="E14" s="48">
        <f>D14/D17</f>
        <v>6.9060523321611431E-2</v>
      </c>
      <c r="F14" s="42">
        <f t="shared" si="2"/>
        <v>344.27</v>
      </c>
      <c r="G14" s="83">
        <f t="shared" si="3"/>
        <v>1709.35</v>
      </c>
      <c r="H14" s="49">
        <v>0</v>
      </c>
      <c r="I14" s="44">
        <f t="shared" si="4"/>
        <v>0</v>
      </c>
      <c r="J14" s="49">
        <v>0</v>
      </c>
      <c r="K14" s="79">
        <f t="shared" si="0"/>
        <v>0</v>
      </c>
      <c r="L14" s="49">
        <v>1</v>
      </c>
      <c r="M14" s="84">
        <f t="shared" si="1"/>
        <v>1709.35</v>
      </c>
    </row>
    <row r="15" spans="2:13" s="220" customFormat="1" x14ac:dyDescent="0.25">
      <c r="B15" s="317" t="s">
        <v>133</v>
      </c>
      <c r="C15" s="61" t="str">
        <f>Planilha!C59</f>
        <v>CABEAMENTO ESTRUTURADO</v>
      </c>
      <c r="D15" s="41">
        <f>Planilha!G59</f>
        <v>2307.6</v>
      </c>
      <c r="E15" s="48">
        <f>D15/D17</f>
        <v>0.11674338765270208</v>
      </c>
      <c r="F15" s="42">
        <f t="shared" si="2"/>
        <v>581.98</v>
      </c>
      <c r="G15" s="83">
        <f t="shared" si="3"/>
        <v>2889.58</v>
      </c>
      <c r="H15" s="43">
        <v>0</v>
      </c>
      <c r="I15" s="215">
        <f t="shared" si="4"/>
        <v>0</v>
      </c>
      <c r="J15" s="43">
        <v>1</v>
      </c>
      <c r="K15" s="215">
        <f t="shared" si="0"/>
        <v>2889.58</v>
      </c>
      <c r="L15" s="318">
        <v>0</v>
      </c>
      <c r="M15" s="84">
        <f t="shared" si="1"/>
        <v>0</v>
      </c>
    </row>
    <row r="16" spans="2:13" s="220" customFormat="1" ht="15.75" thickBot="1" x14ac:dyDescent="0.3">
      <c r="B16" s="317" t="s">
        <v>513</v>
      </c>
      <c r="C16" s="61" t="str">
        <f>Planilha!C64</f>
        <v>SEVIÇOS COMPLEMENTARES</v>
      </c>
      <c r="D16" s="41">
        <f>Planilha!G64</f>
        <v>301.95</v>
      </c>
      <c r="E16" s="48">
        <f>D16/D17</f>
        <v>1.5275899593401539E-2</v>
      </c>
      <c r="F16" s="42">
        <f t="shared" si="2"/>
        <v>76.150000000000006</v>
      </c>
      <c r="G16" s="83">
        <f t="shared" si="3"/>
        <v>378.1</v>
      </c>
      <c r="H16" s="43">
        <v>0</v>
      </c>
      <c r="I16" s="215">
        <f t="shared" si="4"/>
        <v>0</v>
      </c>
      <c r="J16" s="43">
        <v>0</v>
      </c>
      <c r="K16" s="215">
        <f t="shared" si="0"/>
        <v>0</v>
      </c>
      <c r="L16" s="318">
        <v>1</v>
      </c>
      <c r="M16" s="84">
        <f t="shared" si="1"/>
        <v>378.1</v>
      </c>
    </row>
    <row r="17" spans="2:13" ht="17.25" thickBot="1" x14ac:dyDescent="0.35">
      <c r="B17" s="50"/>
      <c r="C17" s="51" t="s">
        <v>25</v>
      </c>
      <c r="D17" s="52">
        <f>ROUND(SUM(D7:D16),2)</f>
        <v>19766.43</v>
      </c>
      <c r="E17" s="53">
        <f>SUM(E7:E16)</f>
        <v>0.99999981871621058</v>
      </c>
      <c r="F17" s="54">
        <f>ROUND(SUM(F7:F16),2)-0.01</f>
        <v>4985.08</v>
      </c>
      <c r="G17" s="55">
        <f>ROUND(SUM(G7:G16),2)</f>
        <v>24751.52</v>
      </c>
      <c r="H17" s="194">
        <f>ROUND(I17/G17*100,2)</f>
        <v>18.309999999999999</v>
      </c>
      <c r="I17" s="62">
        <f>ROUND(SUM(I7:I16),2)</f>
        <v>4532.29</v>
      </c>
      <c r="J17" s="194">
        <f>ROUND(K17/G17*100,2)</f>
        <v>47.48</v>
      </c>
      <c r="K17" s="62">
        <f>ROUND(SUM(K7:K16),2)</f>
        <v>11752.38</v>
      </c>
      <c r="L17" s="196">
        <f>ROUND(M17/G17*100,2)</f>
        <v>34.21</v>
      </c>
      <c r="M17" s="63">
        <f>ROUND(SUM(M7:M16),2)</f>
        <v>8466.85</v>
      </c>
    </row>
    <row r="18" spans="2:13" ht="16.5" thickBot="1" x14ac:dyDescent="0.35">
      <c r="B18" s="56"/>
      <c r="C18" s="57" t="s">
        <v>77</v>
      </c>
      <c r="D18" s="58"/>
      <c r="E18" s="58"/>
      <c r="F18" s="59"/>
      <c r="G18" s="60"/>
      <c r="H18" s="195">
        <f>ROUND(I18/G17*100,2)</f>
        <v>18.309999999999999</v>
      </c>
      <c r="I18" s="64">
        <f>I17</f>
        <v>4532.29</v>
      </c>
      <c r="J18" s="194">
        <f>ROUND(H18+J17,2)</f>
        <v>65.790000000000006</v>
      </c>
      <c r="K18" s="64">
        <f>ROUND(I18+K17,2)</f>
        <v>16284.67</v>
      </c>
      <c r="L18" s="197">
        <f>ROUND(J18+L17,2)</f>
        <v>100</v>
      </c>
      <c r="M18" s="65">
        <f>ROUND(K18+M17,2)</f>
        <v>24751.52</v>
      </c>
    </row>
    <row r="25" spans="2:13" x14ac:dyDescent="0.25">
      <c r="H25">
        <f>I17/G17</f>
        <v>0.18311158264219732</v>
      </c>
    </row>
  </sheetData>
  <mergeCells count="12">
    <mergeCell ref="L5:M5"/>
    <mergeCell ref="B2:M2"/>
    <mergeCell ref="B3:M3"/>
    <mergeCell ref="B4:M4"/>
    <mergeCell ref="B5:B6"/>
    <mergeCell ref="C5:C6"/>
    <mergeCell ref="D5:D6"/>
    <mergeCell ref="E5:E6"/>
    <mergeCell ref="F5:F6"/>
    <mergeCell ref="G5:G6"/>
    <mergeCell ref="H5:I5"/>
    <mergeCell ref="J5:K5"/>
  </mergeCells>
  <pageMargins left="0.78740157480314965" right="0.78740157480314965" top="0.78740157480314965" bottom="0.78740157480314965" header="0" footer="0"/>
  <pageSetup paperSize="9" scale="73" orientation="landscape"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6"/>
  <dimension ref="B2:I46"/>
  <sheetViews>
    <sheetView view="pageBreakPreview" zoomScaleNormal="100" zoomScaleSheetLayoutView="100" workbookViewId="0">
      <selection activeCell="C12" sqref="C12"/>
    </sheetView>
  </sheetViews>
  <sheetFormatPr defaultRowHeight="15" x14ac:dyDescent="0.25"/>
  <cols>
    <col min="2" max="2" width="12.85546875" bestFit="1" customWidth="1"/>
    <col min="3" max="3" width="44.85546875" customWidth="1"/>
    <col min="4" max="4" width="12.7109375" bestFit="1" customWidth="1"/>
    <col min="5" max="5" width="10.140625" bestFit="1" customWidth="1"/>
    <col min="6" max="6" width="10.28515625" bestFit="1" customWidth="1"/>
    <col min="7" max="7" width="15.5703125" bestFit="1" customWidth="1"/>
    <col min="9" max="9" width="0" hidden="1" customWidth="1"/>
  </cols>
  <sheetData>
    <row r="2" spans="2:9" ht="15.75" thickBot="1" x14ac:dyDescent="0.3"/>
    <row r="3" spans="2:9" ht="16.5" thickBot="1" x14ac:dyDescent="0.3">
      <c r="B3" s="383" t="s">
        <v>60</v>
      </c>
      <c r="C3" s="384"/>
      <c r="D3" s="384"/>
      <c r="E3" s="384"/>
      <c r="F3" s="384"/>
      <c r="G3" s="385"/>
    </row>
    <row r="4" spans="2:9" ht="60" customHeight="1" thickBot="1" x14ac:dyDescent="0.3">
      <c r="B4" s="380" t="s">
        <v>78</v>
      </c>
      <c r="C4" s="381"/>
      <c r="D4" s="381"/>
      <c r="E4" s="381"/>
      <c r="F4" s="381"/>
      <c r="G4" s="382"/>
    </row>
    <row r="5" spans="2:9" ht="15.75" thickBot="1" x14ac:dyDescent="0.3">
      <c r="B5" s="12" t="s">
        <v>34</v>
      </c>
      <c r="C5" s="13" t="s">
        <v>28</v>
      </c>
      <c r="D5" s="71" t="s">
        <v>29</v>
      </c>
      <c r="E5" s="71" t="s">
        <v>30</v>
      </c>
      <c r="F5" s="71" t="s">
        <v>31</v>
      </c>
      <c r="G5" s="72" t="s">
        <v>32</v>
      </c>
    </row>
    <row r="6" spans="2:9" x14ac:dyDescent="0.25">
      <c r="B6" s="10" t="s">
        <v>0</v>
      </c>
      <c r="C6" s="11" t="s">
        <v>88</v>
      </c>
      <c r="D6" s="70" t="s">
        <v>29</v>
      </c>
      <c r="E6" s="8">
        <v>1</v>
      </c>
      <c r="F6" s="85">
        <f>I6*0.97</f>
        <v>104.27499999999999</v>
      </c>
      <c r="G6" s="9">
        <f>F6*E6</f>
        <v>104.27499999999999</v>
      </c>
      <c r="I6" s="8">
        <v>107.5</v>
      </c>
    </row>
    <row r="7" spans="2:9" x14ac:dyDescent="0.25">
      <c r="B7" s="6" t="s">
        <v>83</v>
      </c>
      <c r="C7" s="5" t="s">
        <v>79</v>
      </c>
      <c r="D7" s="15" t="s">
        <v>87</v>
      </c>
      <c r="E7" s="1">
        <v>0.25</v>
      </c>
      <c r="F7" s="85">
        <f>I7*0.97</f>
        <v>3.9284999999999997</v>
      </c>
      <c r="G7" s="9">
        <f>ROUND(E7*F7,2)</f>
        <v>0.98</v>
      </c>
      <c r="I7" s="1">
        <v>4.05</v>
      </c>
    </row>
    <row r="8" spans="2:9" x14ac:dyDescent="0.25">
      <c r="B8" s="7" t="s">
        <v>84</v>
      </c>
      <c r="C8" s="5" t="s">
        <v>80</v>
      </c>
      <c r="D8" s="15" t="s">
        <v>87</v>
      </c>
      <c r="E8" s="1">
        <v>0.5</v>
      </c>
      <c r="F8" s="85">
        <f>I8*0.97</f>
        <v>3.9284999999999997</v>
      </c>
      <c r="G8" s="9">
        <f>ROUND(E8*F8,2)</f>
        <v>1.96</v>
      </c>
      <c r="I8" s="1">
        <v>4.05</v>
      </c>
    </row>
    <row r="9" spans="2:9" x14ac:dyDescent="0.25">
      <c r="B9" s="6" t="s">
        <v>85</v>
      </c>
      <c r="C9" s="5" t="s">
        <v>81</v>
      </c>
      <c r="D9" s="15" t="s">
        <v>87</v>
      </c>
      <c r="E9" s="1">
        <v>0.5</v>
      </c>
      <c r="F9" s="85">
        <f>I9*0.97</f>
        <v>1.7751000000000001</v>
      </c>
      <c r="G9" s="9">
        <f>ROUND(E9*F9,2)</f>
        <v>0.89</v>
      </c>
      <c r="I9" s="1">
        <v>1.83</v>
      </c>
    </row>
    <row r="10" spans="2:9" ht="15.75" thickBot="1" x14ac:dyDescent="0.3">
      <c r="B10" s="6" t="s">
        <v>86</v>
      </c>
      <c r="C10" s="4" t="s">
        <v>82</v>
      </c>
      <c r="D10" s="15" t="s">
        <v>87</v>
      </c>
      <c r="E10" s="1">
        <v>0.25</v>
      </c>
      <c r="F10" s="85">
        <f>I10*0.97</f>
        <v>1.9496999999999998</v>
      </c>
      <c r="G10" s="9">
        <f>ROUND(E10*F10,2)</f>
        <v>0.49</v>
      </c>
      <c r="I10" s="1">
        <v>2.0099999999999998</v>
      </c>
    </row>
    <row r="11" spans="2:9" x14ac:dyDescent="0.25">
      <c r="B11" s="16" t="s">
        <v>41</v>
      </c>
      <c r="C11" s="24" t="s">
        <v>42</v>
      </c>
      <c r="D11" s="17" t="s">
        <v>43</v>
      </c>
      <c r="E11" s="17" t="s">
        <v>44</v>
      </c>
      <c r="F11" s="20" t="s">
        <v>45</v>
      </c>
      <c r="G11" s="22" t="s">
        <v>46</v>
      </c>
    </row>
    <row r="12" spans="2:9" ht="15.75" thickBot="1" x14ac:dyDescent="0.3">
      <c r="B12" s="18">
        <v>0</v>
      </c>
      <c r="C12" s="94">
        <f>G6</f>
        <v>104.27499999999999</v>
      </c>
      <c r="D12" s="19">
        <f>SUM(G7:G8)</f>
        <v>2.94</v>
      </c>
      <c r="E12" s="19">
        <f>SUM(G9:G10)</f>
        <v>1.38</v>
      </c>
      <c r="F12" s="21">
        <v>0</v>
      </c>
      <c r="G12" s="87">
        <f>SUM(G6:G10)</f>
        <v>108.59499999999998</v>
      </c>
    </row>
    <row r="15" spans="2:9" ht="16.5" hidden="1" thickBot="1" x14ac:dyDescent="0.3">
      <c r="B15" s="383" t="s">
        <v>60</v>
      </c>
      <c r="C15" s="384"/>
      <c r="D15" s="384"/>
      <c r="E15" s="384"/>
      <c r="F15" s="384"/>
      <c r="G15" s="385"/>
    </row>
    <row r="16" spans="2:9" ht="61.5" hidden="1" customHeight="1" thickBot="1" x14ac:dyDescent="0.3">
      <c r="B16" s="380" t="s">
        <v>89</v>
      </c>
      <c r="C16" s="381"/>
      <c r="D16" s="381"/>
      <c r="E16" s="381"/>
      <c r="F16" s="381"/>
      <c r="G16" s="382"/>
    </row>
    <row r="17" spans="2:7" ht="15.75" hidden="1" thickBot="1" x14ac:dyDescent="0.3">
      <c r="B17" s="12" t="s">
        <v>34</v>
      </c>
      <c r="C17" s="13" t="s">
        <v>28</v>
      </c>
      <c r="D17" s="71" t="s">
        <v>29</v>
      </c>
      <c r="E17" s="71" t="s">
        <v>30</v>
      </c>
      <c r="F17" s="71" t="s">
        <v>31</v>
      </c>
      <c r="G17" s="72" t="s">
        <v>32</v>
      </c>
    </row>
    <row r="18" spans="2:7" ht="15.75" hidden="1" customHeight="1" x14ac:dyDescent="0.25">
      <c r="B18" s="10" t="s">
        <v>0</v>
      </c>
      <c r="C18" s="11" t="s">
        <v>90</v>
      </c>
      <c r="D18" s="70" t="s">
        <v>29</v>
      </c>
      <c r="E18" s="8">
        <v>1</v>
      </c>
      <c r="F18" s="8">
        <v>107.5</v>
      </c>
      <c r="G18" s="9">
        <v>302.57</v>
      </c>
    </row>
    <row r="19" spans="2:7" hidden="1" x14ac:dyDescent="0.25">
      <c r="B19" s="6" t="s">
        <v>83</v>
      </c>
      <c r="C19" s="5" t="s">
        <v>79</v>
      </c>
      <c r="D19" s="15" t="s">
        <v>87</v>
      </c>
      <c r="E19" s="1">
        <v>0.25</v>
      </c>
      <c r="F19" s="1">
        <v>4.05</v>
      </c>
      <c r="G19" s="9">
        <f>ROUND(E19*F19,2)</f>
        <v>1.01</v>
      </c>
    </row>
    <row r="20" spans="2:7" hidden="1" x14ac:dyDescent="0.25">
      <c r="B20" s="7" t="s">
        <v>84</v>
      </c>
      <c r="C20" s="5" t="s">
        <v>80</v>
      </c>
      <c r="D20" s="15" t="s">
        <v>87</v>
      </c>
      <c r="E20" s="1">
        <v>0.5</v>
      </c>
      <c r="F20" s="1">
        <v>4.05</v>
      </c>
      <c r="G20" s="9">
        <f>ROUND(E20*F20,2)</f>
        <v>2.0299999999999998</v>
      </c>
    </row>
    <row r="21" spans="2:7" hidden="1" x14ac:dyDescent="0.25">
      <c r="B21" s="6" t="s">
        <v>85</v>
      </c>
      <c r="C21" s="5" t="s">
        <v>81</v>
      </c>
      <c r="D21" s="15" t="s">
        <v>87</v>
      </c>
      <c r="E21" s="1">
        <v>0.5</v>
      </c>
      <c r="F21" s="1">
        <v>1.83</v>
      </c>
      <c r="G21" s="9">
        <f>ROUND(E21*F21,2)</f>
        <v>0.92</v>
      </c>
    </row>
    <row r="22" spans="2:7" ht="15.75" hidden="1" thickBot="1" x14ac:dyDescent="0.3">
      <c r="B22" s="6" t="s">
        <v>86</v>
      </c>
      <c r="C22" s="4" t="s">
        <v>82</v>
      </c>
      <c r="D22" s="15" t="s">
        <v>87</v>
      </c>
      <c r="E22" s="1">
        <v>0.25</v>
      </c>
      <c r="F22" s="1">
        <v>2.0099999999999998</v>
      </c>
      <c r="G22" s="9">
        <f>ROUND(E22*F22,2)</f>
        <v>0.5</v>
      </c>
    </row>
    <row r="23" spans="2:7" hidden="1" x14ac:dyDescent="0.25">
      <c r="B23" s="16" t="s">
        <v>41</v>
      </c>
      <c r="C23" s="24" t="s">
        <v>42</v>
      </c>
      <c r="D23" s="17" t="s">
        <v>43</v>
      </c>
      <c r="E23" s="17" t="s">
        <v>44</v>
      </c>
      <c r="F23" s="20" t="s">
        <v>45</v>
      </c>
      <c r="G23" s="22" t="s">
        <v>46</v>
      </c>
    </row>
    <row r="24" spans="2:7" ht="15.75" hidden="1" thickBot="1" x14ac:dyDescent="0.3">
      <c r="B24" s="18">
        <v>0</v>
      </c>
      <c r="C24" s="19">
        <f>G18</f>
        <v>302.57</v>
      </c>
      <c r="D24" s="19">
        <f>SUM(G19:G20)</f>
        <v>3.04</v>
      </c>
      <c r="E24" s="19">
        <f>SUM(G21:G22)</f>
        <v>1.42</v>
      </c>
      <c r="F24" s="21">
        <v>0</v>
      </c>
      <c r="G24" s="23">
        <f>SUM(G18:G22)</f>
        <v>307.02999999999997</v>
      </c>
    </row>
    <row r="25" spans="2:7" hidden="1" x14ac:dyDescent="0.25"/>
    <row r="30" spans="2:7" ht="15.75" hidden="1" thickBot="1" x14ac:dyDescent="0.3"/>
    <row r="31" spans="2:7" ht="16.5" hidden="1" thickBot="1" x14ac:dyDescent="0.3">
      <c r="B31" s="383" t="s">
        <v>60</v>
      </c>
      <c r="C31" s="384"/>
      <c r="D31" s="384"/>
      <c r="E31" s="384"/>
      <c r="F31" s="384"/>
      <c r="G31" s="385"/>
    </row>
    <row r="32" spans="2:7" ht="15.75" hidden="1" thickBot="1" x14ac:dyDescent="0.3">
      <c r="B32" s="433" t="s">
        <v>139</v>
      </c>
      <c r="C32" s="434"/>
      <c r="D32" s="434"/>
      <c r="E32" s="434"/>
      <c r="F32" s="434"/>
      <c r="G32" s="435"/>
    </row>
    <row r="33" spans="2:8" ht="15.75" hidden="1" thickBot="1" x14ac:dyDescent="0.3">
      <c r="B33" s="12" t="s">
        <v>34</v>
      </c>
      <c r="C33" s="13" t="s">
        <v>28</v>
      </c>
      <c r="D33" s="71" t="s">
        <v>29</v>
      </c>
      <c r="E33" s="71" t="s">
        <v>30</v>
      </c>
      <c r="F33" s="71" t="s">
        <v>31</v>
      </c>
      <c r="G33" s="72" t="s">
        <v>32</v>
      </c>
    </row>
    <row r="34" spans="2:8" hidden="1" x14ac:dyDescent="0.25">
      <c r="B34" s="10" t="s">
        <v>0</v>
      </c>
      <c r="C34" s="11" t="s">
        <v>113</v>
      </c>
      <c r="D34" s="70" t="s">
        <v>65</v>
      </c>
      <c r="E34" s="61">
        <v>4</v>
      </c>
      <c r="F34" s="85">
        <f>H34*0.97</f>
        <v>1.7654000000000001</v>
      </c>
      <c r="G34" s="86">
        <f>E34*F34</f>
        <v>7.0616000000000003</v>
      </c>
      <c r="H34" s="8">
        <v>1.82</v>
      </c>
    </row>
    <row r="35" spans="2:8" ht="22.5" hidden="1" x14ac:dyDescent="0.25">
      <c r="B35" s="6" t="s">
        <v>115</v>
      </c>
      <c r="C35" s="5" t="s">
        <v>114</v>
      </c>
      <c r="D35" s="15" t="s">
        <v>29</v>
      </c>
      <c r="E35" s="1">
        <v>1.05</v>
      </c>
      <c r="F35" s="85">
        <f t="shared" ref="F35:F43" si="0">H35*0.97</f>
        <v>0.24249999999999999</v>
      </c>
      <c r="G35" s="29">
        <f t="shared" ref="G35:G43" si="1">ROUND(E35*F35,2)</f>
        <v>0.25</v>
      </c>
      <c r="H35" s="1">
        <v>0.25</v>
      </c>
    </row>
    <row r="36" spans="2:8" hidden="1" x14ac:dyDescent="0.25">
      <c r="B36" s="6" t="s">
        <v>119</v>
      </c>
      <c r="C36" s="4" t="s">
        <v>116</v>
      </c>
      <c r="D36" s="15" t="s">
        <v>95</v>
      </c>
      <c r="E36" s="1">
        <v>3.0000000000000001E-3</v>
      </c>
      <c r="F36" s="85">
        <f t="shared" si="0"/>
        <v>43.601500000000001</v>
      </c>
      <c r="G36" s="29">
        <f t="shared" si="1"/>
        <v>0.13</v>
      </c>
      <c r="H36" s="1">
        <v>44.95</v>
      </c>
    </row>
    <row r="37" spans="2:8" hidden="1" x14ac:dyDescent="0.25">
      <c r="B37" s="6" t="s">
        <v>118</v>
      </c>
      <c r="C37" s="4" t="s">
        <v>117</v>
      </c>
      <c r="D37" s="15" t="s">
        <v>123</v>
      </c>
      <c r="E37" s="1">
        <v>3.0000000000000001E-3</v>
      </c>
      <c r="F37" s="85">
        <f t="shared" si="0"/>
        <v>32.184599999999996</v>
      </c>
      <c r="G37" s="29">
        <f t="shared" si="1"/>
        <v>0.1</v>
      </c>
      <c r="H37" s="1">
        <v>33.18</v>
      </c>
    </row>
    <row r="38" spans="2:8" hidden="1" x14ac:dyDescent="0.25">
      <c r="B38" s="6" t="s">
        <v>125</v>
      </c>
      <c r="C38" s="5" t="s">
        <v>124</v>
      </c>
      <c r="D38" s="15" t="s">
        <v>95</v>
      </c>
      <c r="E38" s="2">
        <v>3.2</v>
      </c>
      <c r="F38" s="85">
        <f t="shared" si="0"/>
        <v>0.37830000000000003</v>
      </c>
      <c r="G38" s="29">
        <f t="shared" si="1"/>
        <v>1.21</v>
      </c>
      <c r="H38" s="1">
        <v>0.39</v>
      </c>
    </row>
    <row r="39" spans="2:8" hidden="1" x14ac:dyDescent="0.25">
      <c r="B39" s="6" t="s">
        <v>127</v>
      </c>
      <c r="C39" s="5" t="s">
        <v>120</v>
      </c>
      <c r="D39" s="15" t="s">
        <v>105</v>
      </c>
      <c r="E39" s="1">
        <v>5.0000000000000001E-3</v>
      </c>
      <c r="F39" s="85">
        <f t="shared" si="0"/>
        <v>58.199999999999996</v>
      </c>
      <c r="G39" s="29">
        <f t="shared" si="1"/>
        <v>0.28999999999999998</v>
      </c>
      <c r="H39" s="1">
        <v>60</v>
      </c>
    </row>
    <row r="40" spans="2:8" hidden="1" x14ac:dyDescent="0.25">
      <c r="B40" s="75" t="s">
        <v>126</v>
      </c>
      <c r="C40" s="5" t="s">
        <v>121</v>
      </c>
      <c r="D40" s="15" t="s">
        <v>87</v>
      </c>
      <c r="E40" s="2">
        <v>1.84</v>
      </c>
      <c r="F40" s="85">
        <f>H40*0.97</f>
        <v>10.3111</v>
      </c>
      <c r="G40" s="86">
        <f t="shared" si="1"/>
        <v>18.97</v>
      </c>
      <c r="H40" s="1">
        <v>10.63</v>
      </c>
    </row>
    <row r="41" spans="2:8" hidden="1" x14ac:dyDescent="0.25">
      <c r="B41" s="7" t="s">
        <v>84</v>
      </c>
      <c r="C41" s="5" t="s">
        <v>80</v>
      </c>
      <c r="D41" s="15" t="s">
        <v>87</v>
      </c>
      <c r="E41" s="2">
        <v>1.84</v>
      </c>
      <c r="F41" s="85">
        <f t="shared" si="0"/>
        <v>7.6435999999999993</v>
      </c>
      <c r="G41" s="86">
        <f t="shared" si="1"/>
        <v>14.06</v>
      </c>
      <c r="H41" s="1">
        <v>7.88</v>
      </c>
    </row>
    <row r="42" spans="2:8" hidden="1" x14ac:dyDescent="0.25">
      <c r="B42" s="6" t="s">
        <v>85</v>
      </c>
      <c r="C42" s="5" t="s">
        <v>81</v>
      </c>
      <c r="D42" s="15" t="s">
        <v>87</v>
      </c>
      <c r="E42" s="2">
        <v>1.84</v>
      </c>
      <c r="F42" s="85">
        <f t="shared" si="0"/>
        <v>1.7751000000000001</v>
      </c>
      <c r="G42" s="86">
        <f t="shared" si="1"/>
        <v>3.27</v>
      </c>
      <c r="H42" s="1">
        <v>1.83</v>
      </c>
    </row>
    <row r="43" spans="2:8" ht="15.75" hidden="1" thickBot="1" x14ac:dyDescent="0.3">
      <c r="B43" s="6" t="s">
        <v>86</v>
      </c>
      <c r="C43" s="4" t="s">
        <v>122</v>
      </c>
      <c r="D43" s="15" t="s">
        <v>87</v>
      </c>
      <c r="E43" s="2">
        <v>1.84</v>
      </c>
      <c r="F43" s="85">
        <f t="shared" si="0"/>
        <v>1.7265999999999999</v>
      </c>
      <c r="G43" s="86">
        <f t="shared" si="1"/>
        <v>3.18</v>
      </c>
      <c r="H43" s="1">
        <v>1.78</v>
      </c>
    </row>
    <row r="44" spans="2:8" hidden="1" x14ac:dyDescent="0.25">
      <c r="B44" s="16" t="s">
        <v>41</v>
      </c>
      <c r="C44" s="24" t="s">
        <v>42</v>
      </c>
      <c r="D44" s="17" t="s">
        <v>43</v>
      </c>
      <c r="E44" s="17" t="s">
        <v>44</v>
      </c>
      <c r="F44" s="20" t="s">
        <v>45</v>
      </c>
      <c r="G44" s="22" t="s">
        <v>46</v>
      </c>
    </row>
    <row r="45" spans="2:8" ht="15.75" hidden="1" thickBot="1" x14ac:dyDescent="0.3">
      <c r="B45" s="18">
        <v>0</v>
      </c>
      <c r="C45" s="19">
        <f>G34+G35+G36+G37+G38+G39</f>
        <v>9.041599999999999</v>
      </c>
      <c r="D45" s="19">
        <f>G40+G41</f>
        <v>33.03</v>
      </c>
      <c r="E45" s="19">
        <f>SUM(G42:G43)</f>
        <v>6.45</v>
      </c>
      <c r="F45" s="21">
        <v>0</v>
      </c>
      <c r="G45" s="87">
        <f>SUM(G34:G43)+0.01</f>
        <v>48.531599999999997</v>
      </c>
    </row>
    <row r="46" spans="2:8" hidden="1" x14ac:dyDescent="0.25"/>
  </sheetData>
  <mergeCells count="6">
    <mergeCell ref="B32:G32"/>
    <mergeCell ref="B3:G3"/>
    <mergeCell ref="B4:G4"/>
    <mergeCell ref="B15:G15"/>
    <mergeCell ref="B16:G16"/>
    <mergeCell ref="B31:G31"/>
  </mergeCells>
  <pageMargins left="1.1811023622047245" right="0.78740157480314965" top="0.78740157480314965" bottom="0.78740157480314965" header="0" footer="0"/>
  <pageSetup paperSize="9" scale="75" orientation="portrait"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7"/>
  <dimension ref="B2:H16"/>
  <sheetViews>
    <sheetView view="pageBreakPreview" zoomScaleNormal="100" zoomScaleSheetLayoutView="100" workbookViewId="0">
      <selection activeCell="K10" sqref="K10"/>
    </sheetView>
  </sheetViews>
  <sheetFormatPr defaultRowHeight="15" x14ac:dyDescent="0.25"/>
  <cols>
    <col min="2" max="2" width="12.85546875" bestFit="1" customWidth="1"/>
    <col min="3" max="3" width="33" bestFit="1" customWidth="1"/>
    <col min="4" max="4" width="12.7109375" bestFit="1" customWidth="1"/>
    <col min="5" max="5" width="10.140625" bestFit="1" customWidth="1"/>
    <col min="6" max="6" width="10.28515625" bestFit="1" customWidth="1"/>
    <col min="7" max="7" width="10.5703125" bestFit="1" customWidth="1"/>
    <col min="8" max="8" width="0" hidden="1" customWidth="1"/>
  </cols>
  <sheetData>
    <row r="2" spans="2:8" ht="15.75" thickBot="1" x14ac:dyDescent="0.3"/>
    <row r="3" spans="2:8" ht="16.5" thickBot="1" x14ac:dyDescent="0.3">
      <c r="B3" s="383" t="s">
        <v>60</v>
      </c>
      <c r="C3" s="384"/>
      <c r="D3" s="384"/>
      <c r="E3" s="384"/>
      <c r="F3" s="384"/>
      <c r="G3" s="385"/>
    </row>
    <row r="4" spans="2:8" ht="58.5" customHeight="1" thickBot="1" x14ac:dyDescent="0.3">
      <c r="B4" s="380" t="s">
        <v>140</v>
      </c>
      <c r="C4" s="381"/>
      <c r="D4" s="381"/>
      <c r="E4" s="381"/>
      <c r="F4" s="381"/>
      <c r="G4" s="382"/>
    </row>
    <row r="5" spans="2:8" ht="15.75" thickBot="1" x14ac:dyDescent="0.3">
      <c r="B5" s="12" t="s">
        <v>34</v>
      </c>
      <c r="C5" s="13" t="s">
        <v>28</v>
      </c>
      <c r="D5" s="71" t="s">
        <v>29</v>
      </c>
      <c r="E5" s="71" t="s">
        <v>30</v>
      </c>
      <c r="F5" s="71" t="s">
        <v>31</v>
      </c>
      <c r="G5" s="72" t="s">
        <v>32</v>
      </c>
    </row>
    <row r="6" spans="2:8" x14ac:dyDescent="0.25">
      <c r="B6" s="10" t="s">
        <v>0</v>
      </c>
      <c r="C6" s="11" t="s">
        <v>92</v>
      </c>
      <c r="D6" s="70" t="s">
        <v>26</v>
      </c>
      <c r="E6" s="61">
        <v>1</v>
      </c>
      <c r="F6" s="61">
        <v>12.58</v>
      </c>
      <c r="G6" s="74">
        <f>E6*F6</f>
        <v>12.58</v>
      </c>
      <c r="H6" s="61">
        <v>14.52</v>
      </c>
    </row>
    <row r="7" spans="2:8" ht="26.25" customHeight="1" x14ac:dyDescent="0.25">
      <c r="B7" s="10" t="s">
        <v>93</v>
      </c>
      <c r="C7" s="11" t="s">
        <v>94</v>
      </c>
      <c r="D7" s="70" t="s">
        <v>95</v>
      </c>
      <c r="E7" s="61">
        <v>3.1E-2</v>
      </c>
      <c r="F7" s="61">
        <f t="shared" ref="F7:F14" si="0">H7*0.97</f>
        <v>21.7668</v>
      </c>
      <c r="G7" s="74">
        <f>E7*F7</f>
        <v>0.6747708</v>
      </c>
      <c r="H7" s="61">
        <v>22.44</v>
      </c>
    </row>
    <row r="8" spans="2:8" ht="18" customHeight="1" x14ac:dyDescent="0.25">
      <c r="B8" s="75" t="s">
        <v>96</v>
      </c>
      <c r="C8" s="11" t="s">
        <v>97</v>
      </c>
      <c r="D8" s="70" t="s">
        <v>29</v>
      </c>
      <c r="E8" s="61">
        <v>2</v>
      </c>
      <c r="F8" s="61">
        <f t="shared" si="0"/>
        <v>9.7000000000000003E-2</v>
      </c>
      <c r="G8" s="74">
        <f>E8*F8</f>
        <v>0.19400000000000001</v>
      </c>
      <c r="H8" s="61">
        <v>0.1</v>
      </c>
    </row>
    <row r="9" spans="2:8" ht="20.25" customHeight="1" x14ac:dyDescent="0.25">
      <c r="B9" s="10" t="s">
        <v>98</v>
      </c>
      <c r="C9" s="11" t="s">
        <v>99</v>
      </c>
      <c r="D9" s="70" t="s">
        <v>29</v>
      </c>
      <c r="E9" s="61">
        <v>8</v>
      </c>
      <c r="F9" s="61">
        <f t="shared" si="0"/>
        <v>9.7000000000000003E-2</v>
      </c>
      <c r="G9" s="74">
        <f>E9*F9</f>
        <v>0.77600000000000002</v>
      </c>
      <c r="H9" s="61">
        <v>0.1</v>
      </c>
    </row>
    <row r="10" spans="2:8" ht="27" customHeight="1" x14ac:dyDescent="0.25">
      <c r="B10" s="10" t="s">
        <v>100</v>
      </c>
      <c r="C10" s="11" t="s">
        <v>101</v>
      </c>
      <c r="D10" s="70" t="s">
        <v>65</v>
      </c>
      <c r="E10" s="61">
        <v>2.5</v>
      </c>
      <c r="F10" s="61">
        <f t="shared" si="0"/>
        <v>1.6975</v>
      </c>
      <c r="G10" s="74">
        <f>E10*F10</f>
        <v>4.2437500000000004</v>
      </c>
      <c r="H10" s="61">
        <v>1.75</v>
      </c>
    </row>
    <row r="11" spans="2:8" ht="20.25" customHeight="1" x14ac:dyDescent="0.25">
      <c r="B11" s="6" t="s">
        <v>83</v>
      </c>
      <c r="C11" s="5" t="s">
        <v>79</v>
      </c>
      <c r="D11" s="15" t="s">
        <v>87</v>
      </c>
      <c r="E11" s="1">
        <v>0.75</v>
      </c>
      <c r="F11" s="61">
        <f t="shared" si="0"/>
        <v>3.9284999999999997</v>
      </c>
      <c r="G11" s="9">
        <f>ROUND(E11*F11,2)</f>
        <v>2.95</v>
      </c>
      <c r="H11" s="1">
        <v>4.05</v>
      </c>
    </row>
    <row r="12" spans="2:8" x14ac:dyDescent="0.25">
      <c r="B12" s="7" t="s">
        <v>84</v>
      </c>
      <c r="C12" s="5" t="s">
        <v>80</v>
      </c>
      <c r="D12" s="15" t="s">
        <v>87</v>
      </c>
      <c r="E12" s="1">
        <v>0.75</v>
      </c>
      <c r="F12" s="61">
        <f t="shared" si="0"/>
        <v>3.9284999999999997</v>
      </c>
      <c r="G12" s="9">
        <f>ROUND(E12*F12,2)</f>
        <v>2.95</v>
      </c>
      <c r="H12" s="1">
        <v>4.05</v>
      </c>
    </row>
    <row r="13" spans="2:8" ht="22.5" customHeight="1" x14ac:dyDescent="0.25">
      <c r="B13" s="6" t="s">
        <v>85</v>
      </c>
      <c r="C13" s="5" t="s">
        <v>81</v>
      </c>
      <c r="D13" s="15" t="s">
        <v>87</v>
      </c>
      <c r="E13" s="1">
        <v>0.75</v>
      </c>
      <c r="F13" s="61">
        <f t="shared" si="0"/>
        <v>1.7751000000000001</v>
      </c>
      <c r="G13" s="9">
        <f>ROUND(E13*F13,2)</f>
        <v>1.33</v>
      </c>
      <c r="H13" s="1">
        <v>1.83</v>
      </c>
    </row>
    <row r="14" spans="2:8" ht="15.75" thickBot="1" x14ac:dyDescent="0.3">
      <c r="B14" s="6" t="s">
        <v>86</v>
      </c>
      <c r="C14" s="4" t="s">
        <v>82</v>
      </c>
      <c r="D14" s="15" t="s">
        <v>87</v>
      </c>
      <c r="E14" s="1">
        <v>0.75</v>
      </c>
      <c r="F14" s="61">
        <f t="shared" si="0"/>
        <v>1.9496999999999998</v>
      </c>
      <c r="G14" s="9">
        <f>ROUND(E14*F14,2)</f>
        <v>1.46</v>
      </c>
      <c r="H14" s="1">
        <v>2.0099999999999998</v>
      </c>
    </row>
    <row r="15" spans="2:8" x14ac:dyDescent="0.25">
      <c r="B15" s="16" t="s">
        <v>41</v>
      </c>
      <c r="C15" s="24" t="s">
        <v>42</v>
      </c>
      <c r="D15" s="17" t="s">
        <v>43</v>
      </c>
      <c r="E15" s="17" t="s">
        <v>44</v>
      </c>
      <c r="F15" s="20" t="s">
        <v>45</v>
      </c>
      <c r="G15" s="22" t="s">
        <v>46</v>
      </c>
    </row>
    <row r="16" spans="2:8" ht="15.75" thickBot="1" x14ac:dyDescent="0.3">
      <c r="B16" s="18">
        <v>0</v>
      </c>
      <c r="C16" s="76">
        <f>G6+G7+G8+G9+G10</f>
        <v>18.4685208</v>
      </c>
      <c r="D16" s="19">
        <f>SUM(G11:G12)</f>
        <v>5.9</v>
      </c>
      <c r="E16" s="19">
        <f>SUM(G13:G14)</f>
        <v>2.79</v>
      </c>
      <c r="F16" s="21">
        <v>0</v>
      </c>
      <c r="G16" s="77">
        <f>ROUND(SUM(G6:G14),2)</f>
        <v>27.16</v>
      </c>
    </row>
  </sheetData>
  <mergeCells count="2">
    <mergeCell ref="B3:G3"/>
    <mergeCell ref="B4:G4"/>
  </mergeCells>
  <pageMargins left="1.1811023622047245" right="0.78740157480314965" top="0.78740157480314965" bottom="0.78740157480314965" header="0" footer="0"/>
  <pageSetup paperSize="9" scale="85" orientation="portrait"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8"/>
  <dimension ref="B2:H10"/>
  <sheetViews>
    <sheetView view="pageBreakPreview" zoomScaleNormal="100" zoomScaleSheetLayoutView="100" workbookViewId="0">
      <selection activeCell="B7" sqref="B7:G8"/>
    </sheetView>
  </sheetViews>
  <sheetFormatPr defaultRowHeight="15" x14ac:dyDescent="0.25"/>
  <cols>
    <col min="2" max="2" width="12.85546875" bestFit="1" customWidth="1"/>
    <col min="3" max="3" width="33" bestFit="1" customWidth="1"/>
    <col min="4" max="4" width="12.7109375" bestFit="1" customWidth="1"/>
    <col min="5" max="5" width="10.140625" bestFit="1" customWidth="1"/>
    <col min="6" max="6" width="10.28515625" bestFit="1" customWidth="1"/>
    <col min="7" max="7" width="10.5703125" bestFit="1" customWidth="1"/>
    <col min="8" max="8" width="0" hidden="1" customWidth="1"/>
  </cols>
  <sheetData>
    <row r="2" spans="2:8" ht="15.75" thickBot="1" x14ac:dyDescent="0.3"/>
    <row r="3" spans="2:8" ht="16.5" thickBot="1" x14ac:dyDescent="0.3">
      <c r="B3" s="383" t="s">
        <v>60</v>
      </c>
      <c r="C3" s="384"/>
      <c r="D3" s="384"/>
      <c r="E3" s="384"/>
      <c r="F3" s="384"/>
      <c r="G3" s="385"/>
    </row>
    <row r="4" spans="2:8" ht="58.5" customHeight="1" thickBot="1" x14ac:dyDescent="0.3">
      <c r="B4" s="380" t="s">
        <v>145</v>
      </c>
      <c r="C4" s="381"/>
      <c r="D4" s="381"/>
      <c r="E4" s="381"/>
      <c r="F4" s="381"/>
      <c r="G4" s="382"/>
    </row>
    <row r="5" spans="2:8" ht="15.75" thickBot="1" x14ac:dyDescent="0.3">
      <c r="B5" s="12" t="s">
        <v>34</v>
      </c>
      <c r="C5" s="13" t="s">
        <v>28</v>
      </c>
      <c r="D5" s="71" t="s">
        <v>29</v>
      </c>
      <c r="E5" s="71" t="s">
        <v>30</v>
      </c>
      <c r="F5" s="71" t="s">
        <v>31</v>
      </c>
      <c r="G5" s="72" t="s">
        <v>32</v>
      </c>
    </row>
    <row r="6" spans="2:8" x14ac:dyDescent="0.25">
      <c r="B6" s="10" t="s">
        <v>190</v>
      </c>
      <c r="C6" s="11" t="s">
        <v>146</v>
      </c>
      <c r="D6" s="70" t="s">
        <v>87</v>
      </c>
      <c r="E6" s="61">
        <v>1</v>
      </c>
      <c r="F6" s="61">
        <v>14.93</v>
      </c>
      <c r="G6" s="74">
        <f>E6*F6</f>
        <v>14.93</v>
      </c>
      <c r="H6" s="61">
        <v>14.52</v>
      </c>
    </row>
    <row r="7" spans="2:8" x14ac:dyDescent="0.25">
      <c r="B7" s="93" t="s">
        <v>191</v>
      </c>
      <c r="C7" s="5" t="s">
        <v>193</v>
      </c>
      <c r="D7" s="15" t="s">
        <v>87</v>
      </c>
      <c r="E7" s="1">
        <v>0.15</v>
      </c>
      <c r="F7" s="61">
        <v>5.0599999999999996</v>
      </c>
      <c r="G7" s="9">
        <f>ROUND(E7*F7,2)</f>
        <v>0.76</v>
      </c>
      <c r="H7" s="1">
        <v>4.05</v>
      </c>
    </row>
    <row r="8" spans="2:8" ht="22.5" customHeight="1" thickBot="1" x14ac:dyDescent="0.3">
      <c r="B8" s="92" t="s">
        <v>192</v>
      </c>
      <c r="C8" s="5" t="s">
        <v>194</v>
      </c>
      <c r="D8" s="15" t="s">
        <v>87</v>
      </c>
      <c r="E8" s="1">
        <v>2</v>
      </c>
      <c r="F8" s="61">
        <v>3.41</v>
      </c>
      <c r="G8" s="9">
        <f>ROUND(E8*F8,2)</f>
        <v>6.82</v>
      </c>
      <c r="H8" s="1">
        <v>1.83</v>
      </c>
    </row>
    <row r="9" spans="2:8" x14ac:dyDescent="0.25">
      <c r="B9" s="16" t="s">
        <v>41</v>
      </c>
      <c r="C9" s="24" t="s">
        <v>42</v>
      </c>
      <c r="D9" s="17" t="s">
        <v>43</v>
      </c>
      <c r="E9" s="17" t="s">
        <v>44</v>
      </c>
      <c r="F9" s="20" t="s">
        <v>45</v>
      </c>
      <c r="G9" s="22" t="s">
        <v>46</v>
      </c>
    </row>
    <row r="10" spans="2:8" ht="15.75" thickBot="1" x14ac:dyDescent="0.3">
      <c r="B10" s="18">
        <v>0</v>
      </c>
      <c r="C10" s="76">
        <v>0</v>
      </c>
      <c r="D10" s="19">
        <f>SUM(G7:G7)</f>
        <v>0.76</v>
      </c>
      <c r="E10" s="19">
        <f>SUM(G8:G8)</f>
        <v>6.82</v>
      </c>
      <c r="F10" s="21">
        <v>0</v>
      </c>
      <c r="G10" s="77">
        <f>ROUND(SUM(G6:G8),2)</f>
        <v>22.51</v>
      </c>
    </row>
  </sheetData>
  <mergeCells count="2">
    <mergeCell ref="B3:G3"/>
    <mergeCell ref="B4:G4"/>
  </mergeCells>
  <pageMargins left="1.1811023622047245" right="0.78740157480314965" top="0.78740157480314965" bottom="0.78740157480314965" header="0" footer="0"/>
  <pageSetup paperSize="9" scale="85" orientation="portrait"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58</vt:i4>
      </vt:variant>
      <vt:variant>
        <vt:lpstr>Intervalos nomeados</vt:lpstr>
      </vt:variant>
      <vt:variant>
        <vt:i4>55</vt:i4>
      </vt:variant>
    </vt:vector>
  </HeadingPairs>
  <TitlesOfParts>
    <vt:vector size="113" baseType="lpstr">
      <vt:lpstr>COMPOSIÇÕES</vt:lpstr>
      <vt:lpstr>Planilha</vt:lpstr>
      <vt:lpstr>Memoria de Cálculo</vt:lpstr>
      <vt:lpstr>Porta Completa 3.2</vt:lpstr>
      <vt:lpstr>ORÇAMENTO RESUMO</vt:lpstr>
      <vt:lpstr>CRONOGRAMA FÍSICO-FINANCEIRO</vt:lpstr>
      <vt:lpstr>Divisória Naval 2.3</vt:lpstr>
      <vt:lpstr>Forro de PVC 4.1</vt:lpstr>
      <vt:lpstr>Demolição de Alvenaria 1.1</vt:lpstr>
      <vt:lpstr>Rasgo em Contrapiso1.2</vt:lpstr>
      <vt:lpstr>Alvenaria de vedação 2.1</vt:lpstr>
      <vt:lpstr>Parede de Gesso Acartonado 2.2</vt:lpstr>
      <vt:lpstr>Porta p Divisória 3.1</vt:lpstr>
      <vt:lpstr>Remoção de Forro de Madeira 4.2</vt:lpstr>
      <vt:lpstr>Chapisco 5.1</vt:lpstr>
      <vt:lpstr>Massa Única 5.2</vt:lpstr>
      <vt:lpstr>Tubulação de cobre 6.1</vt:lpstr>
      <vt:lpstr>Dreno Ar Cond. 6.2</vt:lpstr>
      <vt:lpstr>Fundo Selador 7.1</vt:lpstr>
      <vt:lpstr>Lixamento de massa 7.2</vt:lpstr>
      <vt:lpstr>Pintura Acrílica 7.3</vt:lpstr>
      <vt:lpstr>Pintura Esmalte 7.4</vt:lpstr>
      <vt:lpstr>Placa de Concreto 8.1</vt:lpstr>
      <vt:lpstr>Piso Granilite 8.2</vt:lpstr>
      <vt:lpstr>Quadro de Distribuição 9.1</vt:lpstr>
      <vt:lpstr>Disjuntor 10-16A 9.2</vt:lpstr>
      <vt:lpstr>Disjuntor 20A 9.3</vt:lpstr>
      <vt:lpstr>Disjuntor 10 - 50 A 9.4</vt:lpstr>
      <vt:lpstr>Interruptor 9.5</vt:lpstr>
      <vt:lpstr>Caixa PVC 9.6</vt:lpstr>
      <vt:lpstr>Luminária 9.7</vt:lpstr>
      <vt:lpstr>Tomada 9.8</vt:lpstr>
      <vt:lpstr>Eletroduto Flex 9.9</vt:lpstr>
      <vt:lpstr>Eletroduto 25 9.10</vt:lpstr>
      <vt:lpstr>Eletroduto 32 9.11</vt:lpstr>
      <vt:lpstr>Abraçadeira 9.12</vt:lpstr>
      <vt:lpstr>Curva 9.13</vt:lpstr>
      <vt:lpstr>Caixa Pre 9.14</vt:lpstr>
      <vt:lpstr>Cabo Cobre 2,5 9.15</vt:lpstr>
      <vt:lpstr>Cabo Cobre 4 9.16</vt:lpstr>
      <vt:lpstr>Cabo Cobre 6 9.17</vt:lpstr>
      <vt:lpstr>Cabo UTP 9.18</vt:lpstr>
      <vt:lpstr>Ponto Cab. 9.19</vt:lpstr>
      <vt:lpstr>Curva Horizontal 9.20</vt:lpstr>
      <vt:lpstr>Eletrocalha 9.21</vt:lpstr>
      <vt:lpstr>Abrigo 10.1</vt:lpstr>
      <vt:lpstr>Tubo 10.2</vt:lpstr>
      <vt:lpstr>Bancada 11.1</vt:lpstr>
      <vt:lpstr>Suporte 11.2</vt:lpstr>
      <vt:lpstr>Corrimão 11.3</vt:lpstr>
      <vt:lpstr>Limpeza 11.4</vt:lpstr>
      <vt:lpstr>Bota Fora 11.5</vt:lpstr>
      <vt:lpstr>PLANILHA DEPÓSITO</vt:lpstr>
      <vt:lpstr>MEMÓRIA DEPÓSITO</vt:lpstr>
      <vt:lpstr>Plan3</vt:lpstr>
      <vt:lpstr>CRONOGRAMA DEPÓSITO</vt:lpstr>
      <vt:lpstr>Plan1</vt:lpstr>
      <vt:lpstr>ORÇAMENTO RESUMO DEPOSITO</vt:lpstr>
      <vt:lpstr>'Abraçadeira 9.12'!Area_de_impressao</vt:lpstr>
      <vt:lpstr>'Abrigo 10.1'!Area_de_impressao</vt:lpstr>
      <vt:lpstr>'Alvenaria de vedação 2.1'!Area_de_impressao</vt:lpstr>
      <vt:lpstr>'Bancada 11.1'!Area_de_impressao</vt:lpstr>
      <vt:lpstr>'Bota Fora 11.5'!Area_de_impressao</vt:lpstr>
      <vt:lpstr>'Cabo Cobre 2,5 9.15'!Area_de_impressao</vt:lpstr>
      <vt:lpstr>'Cabo Cobre 4 9.16'!Area_de_impressao</vt:lpstr>
      <vt:lpstr>'Cabo Cobre 6 9.17'!Area_de_impressao</vt:lpstr>
      <vt:lpstr>'Cabo UTP 9.18'!Area_de_impressao</vt:lpstr>
      <vt:lpstr>'Caixa Pre 9.14'!Area_de_impressao</vt:lpstr>
      <vt:lpstr>'Caixa PVC 9.6'!Area_de_impressao</vt:lpstr>
      <vt:lpstr>'Chapisco 5.1'!Area_de_impressao</vt:lpstr>
      <vt:lpstr>COMPOSIÇÕES!Area_de_impressao</vt:lpstr>
      <vt:lpstr>'Corrimão 11.3'!Area_de_impressao</vt:lpstr>
      <vt:lpstr>'CRONOGRAMA DEPÓSITO'!Area_de_impressao</vt:lpstr>
      <vt:lpstr>'CRONOGRAMA FÍSICO-FINANCEIRO'!Area_de_impressao</vt:lpstr>
      <vt:lpstr>'Curva 9.13'!Area_de_impressao</vt:lpstr>
      <vt:lpstr>'Curva Horizontal 9.20'!Area_de_impressao</vt:lpstr>
      <vt:lpstr>'Demolição de Alvenaria 1.1'!Area_de_impressao</vt:lpstr>
      <vt:lpstr>'Disjuntor 10 - 50 A 9.4'!Area_de_impressao</vt:lpstr>
      <vt:lpstr>'Disjuntor 10-16A 9.2'!Area_de_impressao</vt:lpstr>
      <vt:lpstr>'Disjuntor 20A 9.3'!Area_de_impressao</vt:lpstr>
      <vt:lpstr>'Divisória Naval 2.3'!Area_de_impressao</vt:lpstr>
      <vt:lpstr>'Dreno Ar Cond. 6.2'!Area_de_impressao</vt:lpstr>
      <vt:lpstr>'Eletrocalha 9.21'!Area_de_impressao</vt:lpstr>
      <vt:lpstr>'Eletroduto 25 9.10'!Area_de_impressao</vt:lpstr>
      <vt:lpstr>'Eletroduto 32 9.11'!Area_de_impressao</vt:lpstr>
      <vt:lpstr>'Eletroduto Flex 9.9'!Area_de_impressao</vt:lpstr>
      <vt:lpstr>'Forro de PVC 4.1'!Area_de_impressao</vt:lpstr>
      <vt:lpstr>'Fundo Selador 7.1'!Area_de_impressao</vt:lpstr>
      <vt:lpstr>'Interruptor 9.5'!Area_de_impressao</vt:lpstr>
      <vt:lpstr>'Limpeza 11.4'!Area_de_impressao</vt:lpstr>
      <vt:lpstr>'Lixamento de massa 7.2'!Area_de_impressao</vt:lpstr>
      <vt:lpstr>'Luminária 9.7'!Area_de_impressao</vt:lpstr>
      <vt:lpstr>'Massa Única 5.2'!Area_de_impressao</vt:lpstr>
      <vt:lpstr>'MEMÓRIA DEPÓSITO'!Area_de_impressao</vt:lpstr>
      <vt:lpstr>'ORÇAMENTO RESUMO'!Area_de_impressao</vt:lpstr>
      <vt:lpstr>'ORÇAMENTO RESUMO DEPOSITO'!Area_de_impressao</vt:lpstr>
      <vt:lpstr>'Parede de Gesso Acartonado 2.2'!Area_de_impressao</vt:lpstr>
      <vt:lpstr>'Pintura Acrílica 7.3'!Area_de_impressao</vt:lpstr>
      <vt:lpstr>'Pintura Esmalte 7.4'!Area_de_impressao</vt:lpstr>
      <vt:lpstr>'Piso Granilite 8.2'!Area_de_impressao</vt:lpstr>
      <vt:lpstr>'Placa de Concreto 8.1'!Area_de_impressao</vt:lpstr>
      <vt:lpstr>Plan3!Area_de_impressao</vt:lpstr>
      <vt:lpstr>Planilha!Area_de_impressao</vt:lpstr>
      <vt:lpstr>'Ponto Cab. 9.19'!Area_de_impressao</vt:lpstr>
      <vt:lpstr>'Porta Completa 3.2'!Area_de_impressao</vt:lpstr>
      <vt:lpstr>'Porta p Divisória 3.1'!Area_de_impressao</vt:lpstr>
      <vt:lpstr>'Quadro de Distribuição 9.1'!Area_de_impressao</vt:lpstr>
      <vt:lpstr>'Rasgo em Contrapiso1.2'!Area_de_impressao</vt:lpstr>
      <vt:lpstr>'Remoção de Forro de Madeira 4.2'!Area_de_impressao</vt:lpstr>
      <vt:lpstr>'Suporte 11.2'!Area_de_impressao</vt:lpstr>
      <vt:lpstr>'Tomada 9.8'!Area_de_impressao</vt:lpstr>
      <vt:lpstr>'Tubo 10.2'!Area_de_impressao</vt:lpstr>
      <vt:lpstr>'Tubulação de cobre 6.1'!Area_de_impressao</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OBRAS-07</dc:creator>
  <cp:lastModifiedBy>ifpb</cp:lastModifiedBy>
  <cp:lastPrinted>2018-09-24T17:07:10Z</cp:lastPrinted>
  <dcterms:created xsi:type="dcterms:W3CDTF">2015-04-10T17:24:18Z</dcterms:created>
  <dcterms:modified xsi:type="dcterms:W3CDTF">2018-09-24T18:16:52Z</dcterms:modified>
</cp:coreProperties>
</file>